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905" yWindow="-180" windowWidth="15405" windowHeight="12390"/>
  </bookViews>
  <sheets>
    <sheet name="street rate - benefits" sheetId="2" r:id="rId1"/>
  </sheet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E2" i="2" l="1"/>
  <c r="H21" i="2" l="1"/>
  <c r="H20" i="2"/>
  <c r="H19" i="2"/>
  <c r="H18" i="2"/>
  <c r="H17" i="2"/>
  <c r="H16" i="2"/>
  <c r="H15" i="2"/>
  <c r="H14" i="2"/>
  <c r="E12" i="2"/>
  <c r="F21" i="2" s="1"/>
  <c r="E6" i="2"/>
  <c r="E9" i="2" s="1"/>
  <c r="G3" i="2"/>
  <c r="E13" i="2" l="1"/>
  <c r="G21" i="2"/>
  <c r="I21" i="2" s="1"/>
  <c r="F14" i="2"/>
  <c r="F15" i="2"/>
  <c r="F16" i="2"/>
  <c r="G16" i="2" s="1"/>
  <c r="I16" i="2" s="1"/>
  <c r="F17" i="2"/>
  <c r="G17" i="2" s="1"/>
  <c r="I17" i="2" s="1"/>
  <c r="F18" i="2"/>
  <c r="F19" i="2"/>
  <c r="F20" i="2"/>
  <c r="G20" i="2" s="1"/>
  <c r="I20" i="2" s="1"/>
  <c r="G19" i="2" l="1"/>
  <c r="I19" i="2" s="1"/>
  <c r="G15" i="2"/>
  <c r="I15" i="2" s="1"/>
  <c r="G18" i="2"/>
  <c r="I18" i="2" s="1"/>
  <c r="G14" i="2"/>
  <c r="I14" i="2" s="1"/>
</calcChain>
</file>

<file path=xl/comments1.xml><?xml version="1.0" encoding="utf-8"?>
<comments xmlns="http://schemas.openxmlformats.org/spreadsheetml/2006/main">
  <authors>
    <author>Gary Elekes</author>
  </authors>
  <commentList>
    <comment ref="C2" authorId="0">
      <text>
        <r>
          <rPr>
            <b/>
            <sz val="8"/>
            <color indexed="81"/>
            <rFont val="Tahoma"/>
            <family val="2"/>
          </rPr>
          <t>Gary Elekes:</t>
        </r>
        <r>
          <rPr>
            <sz val="8"/>
            <color indexed="81"/>
            <rFont val="Tahoma"/>
            <family val="2"/>
          </rPr>
          <t xml:space="preserve">
Total number of techs multiplied by the hours they can bill for the company in service</t>
        </r>
      </text>
    </comment>
    <comment ref="F3" authorId="0">
      <text>
        <r>
          <rPr>
            <b/>
            <sz val="8"/>
            <color indexed="81"/>
            <rFont val="Tahoma"/>
            <family val="2"/>
          </rPr>
          <t>Gary Elekes:</t>
        </r>
        <r>
          <rPr>
            <sz val="8"/>
            <color indexed="81"/>
            <rFont val="Tahoma"/>
            <family val="2"/>
          </rPr>
          <t xml:space="preserve">
Benefits for field labor consist of:
All payroll taxes
 (fica/futa/Suta)
 or Canadien Equivelent
All medical benefits paid
All Vacation-holiday pay
All other benefits</t>
        </r>
      </text>
    </comment>
    <comment ref="C8" authorId="0">
      <text>
        <r>
          <rPr>
            <b/>
            <sz val="8"/>
            <color indexed="81"/>
            <rFont val="Tahoma"/>
            <family val="2"/>
          </rPr>
          <t>Gary Elekes:</t>
        </r>
        <r>
          <rPr>
            <sz val="8"/>
            <color indexed="81"/>
            <rFont val="Tahoma"/>
            <family val="2"/>
          </rPr>
          <t xml:space="preserve">
The 22% KPI comes from the best performing companies in the hvac industry.  The 22% is the labor that we measure against the street labor sale only.  This calculation does NOT include any parts sales and is strictly the retail labor sale.</t>
        </r>
      </text>
    </comment>
    <comment ref="C11" authorId="0">
      <text>
        <r>
          <rPr>
            <b/>
            <sz val="8"/>
            <color indexed="81"/>
            <rFont val="Tahoma"/>
            <family val="2"/>
          </rPr>
          <t>Gary Elekes:</t>
        </r>
        <r>
          <rPr>
            <sz val="8"/>
            <color indexed="81"/>
            <rFont val="Tahoma"/>
            <family val="2"/>
          </rPr>
          <t xml:space="preserve">
This represents the number of service agreements sold as a percentage for each 100 service calls.  Industry KPI is 25% minimum</t>
        </r>
      </text>
    </comment>
    <comment ref="C14" authorId="0">
      <text>
        <r>
          <rPr>
            <b/>
            <sz val="8"/>
            <color indexed="81"/>
            <rFont val="Tahoma"/>
            <family val="2"/>
          </rPr>
          <t>Gary Elekes:</t>
        </r>
        <r>
          <rPr>
            <sz val="8"/>
            <color indexed="81"/>
            <rFont val="Tahoma"/>
            <family val="2"/>
          </rPr>
          <t xml:space="preserve">
Use the 4K rule = price repair x age equip
Use the 19 point rule - service questions
Use the over 10 rule - hunter killer sales tech
Use the 4 C's of dispatching - 
   Is this crisis - old age
   Competency to fix
   Geographic location prominity
   Sales Ability
   </t>
        </r>
      </text>
    </comment>
    <comment ref="C15" authorId="0">
      <text>
        <r>
          <rPr>
            <b/>
            <sz val="8"/>
            <color indexed="81"/>
            <rFont val="Tahoma"/>
            <family val="2"/>
          </rPr>
          <t>Gary Elekes:</t>
        </r>
        <r>
          <rPr>
            <sz val="8"/>
            <color indexed="81"/>
            <rFont val="Tahoma"/>
            <family val="2"/>
          </rPr>
          <t xml:space="preserve">
Warranty callbacks
Product Knowledge
Parts changers - diagnostic capability</t>
        </r>
      </text>
    </comment>
  </commentList>
</comments>
</file>

<file path=xl/sharedStrings.xml><?xml version="1.0" encoding="utf-8"?>
<sst xmlns="http://schemas.openxmlformats.org/spreadsheetml/2006/main" count="41" uniqueCount="41">
  <si>
    <t>Step 3</t>
  </si>
  <si>
    <t>Effective Wage Rate</t>
  </si>
  <si>
    <t>(Cost to bill one hour at rate)</t>
  </si>
  <si>
    <t>Step 4</t>
  </si>
  <si>
    <t>Raise efficiency ratio via performance based pay</t>
  </si>
  <si>
    <t>Incremental</t>
  </si>
  <si>
    <t>Estimated hours avaialble for billing in a year service</t>
  </si>
  <si>
    <t>Enter W2 wage rate for the company average technician</t>
  </si>
  <si>
    <t>Burdened Wage</t>
  </si>
  <si>
    <t>(hours billed divided by the hours paid)</t>
  </si>
  <si>
    <t>Step 1</t>
  </si>
  <si>
    <t>Step 2</t>
  </si>
  <si>
    <t>Raise efficiency ratio through competency training</t>
  </si>
  <si>
    <t>Raise efficiency Ratio by reviewing each invoice daily</t>
  </si>
  <si>
    <t>Raise efficiency ratio by standard stock trucks</t>
  </si>
  <si>
    <t>Raise efficiency ratio via proper replenishment of trucks</t>
  </si>
  <si>
    <t>Raise efficiency ratio via GPS system</t>
  </si>
  <si>
    <t>Service Agreement Discount if you offer one</t>
  </si>
  <si>
    <t>New Rate</t>
  </si>
  <si>
    <t>What Rate Would</t>
  </si>
  <si>
    <t>Efficiency</t>
  </si>
  <si>
    <t>New Billable</t>
  </si>
  <si>
    <t>Efficiency ratio</t>
  </si>
  <si>
    <t>Divide by the Labor to Sales Key Performance Indicator</t>
  </si>
  <si>
    <t>Step 5</t>
  </si>
  <si>
    <t>Base Street Labor rate</t>
  </si>
  <si>
    <t>Step 6</t>
  </si>
  <si>
    <t>Step 7</t>
  </si>
  <si>
    <t>Conversion Rate for Demand Service for S/A</t>
  </si>
  <si>
    <t>Step 8</t>
  </si>
  <si>
    <t>Net Affects of Service Agreement Discounts</t>
  </si>
  <si>
    <t>Step 9</t>
  </si>
  <si>
    <t>Step 10</t>
  </si>
  <si>
    <t>Required Street Rate with Service Agreement Discount</t>
  </si>
  <si>
    <t>Be w/New Efficiency</t>
  </si>
  <si>
    <t>Gain/Hour</t>
  </si>
  <si>
    <t>Hours</t>
  </si>
  <si>
    <t>Profits Gained</t>
  </si>
  <si>
    <t>Raise efficiency ratio through simplified flat rate system</t>
  </si>
  <si>
    <t>Raise Efficiency Ratio through improved dispatching</t>
  </si>
  <si>
    <t>Benefits/Burden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</si>
</sst>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_([$$-409]* #,##0.00_);_([$$-409]* \(#,##0.00\);_([$$-409]* &quot;-&quot;??_);_(@_)"/>
  </numFmts>
  <fonts count="12" x14ac:knownFonts="1">
    <font>
      <sz val="10"/>
      <name val="Arial"/>
    </font>
    <font>
      <b/>
      <sz val="10"/>
      <name val="Arial"/>
      <family val="2"/>
    </font>
    <font>
      <sz val="8"/>
      <color indexed="81"/>
      <name val="Tahoma"/>
      <family val="2"/>
    </font>
    <font>
      <b/>
      <sz val="8"/>
      <color indexed="81"/>
      <name val="Tahoma"/>
      <family val="2"/>
    </font>
    <font>
      <sz val="10"/>
      <color rgb="FF404040"/>
      <name val="Arial"/>
      <family val="2"/>
    </font>
    <font>
      <b/>
      <sz val="10"/>
      <color rgb="FF404040"/>
      <name val="Arial"/>
      <family val="2"/>
    </font>
    <font>
      <b/>
      <sz val="12"/>
      <color rgb="FF404040"/>
      <name val="Arial"/>
      <family val="2"/>
    </font>
    <font>
      <sz val="10"/>
      <color theme="0"/>
      <name val="Arial"/>
      <family val="2"/>
    </font>
    <font>
      <b/>
      <sz val="12"/>
      <color theme="0"/>
      <name val="Arial"/>
      <family val="2"/>
    </font>
    <font>
      <sz val="12"/>
      <color theme="0"/>
      <name val="Arial"/>
      <family val="2"/>
    </font>
    <font>
      <b/>
      <sz val="11"/>
      <color rgb="FF404040"/>
      <name val="Arial"/>
      <family val="2"/>
    </font>
    <font>
      <b/>
      <sz val="11"/>
      <color theme="0"/>
      <name val="Arial"/>
      <family val="2"/>
    </font>
  </fonts>
  <fills count="4">
    <fill>
      <patternFill patternType="none"/>
    </fill>
    <fill>
      <patternFill patternType="gray125"/>
    </fill>
    <fill>
      <patternFill patternType="solid">
        <fgColor rgb="FFFFFECC"/>
        <bgColor indexed="64"/>
      </patternFill>
    </fill>
    <fill>
      <patternFill patternType="solid">
        <fgColor rgb="FF3C94DC"/>
        <bgColor indexed="64"/>
      </patternFill>
    </fill>
  </fills>
  <borders count="23">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4" fillId="0" borderId="0" xfId="0" applyFont="1"/>
    <xf numFmtId="0" fontId="5" fillId="0" borderId="0" xfId="0" applyFont="1"/>
    <xf numFmtId="0" fontId="4" fillId="0" borderId="1" xfId="0" applyFont="1" applyBorder="1"/>
    <xf numFmtId="0" fontId="4" fillId="0" borderId="0" xfId="0" applyFont="1" applyBorder="1"/>
    <xf numFmtId="165" fontId="6" fillId="0" borderId="0" xfId="0" applyNumberFormat="1" applyFont="1"/>
    <xf numFmtId="0" fontId="4" fillId="0" borderId="9" xfId="0" applyFont="1" applyBorder="1"/>
    <xf numFmtId="0" fontId="4" fillId="0" borderId="11" xfId="0" applyFont="1" applyBorder="1"/>
    <xf numFmtId="0" fontId="4" fillId="0" borderId="7" xfId="0" applyFont="1" applyBorder="1"/>
    <xf numFmtId="0" fontId="4" fillId="0" borderId="2" xfId="0" applyFont="1" applyBorder="1"/>
    <xf numFmtId="0" fontId="8" fillId="3" borderId="3" xfId="0" applyFont="1" applyFill="1" applyBorder="1"/>
    <xf numFmtId="0" fontId="8" fillId="3" borderId="4" xfId="0" applyFont="1" applyFill="1" applyBorder="1"/>
    <xf numFmtId="0" fontId="8" fillId="3" borderId="8" xfId="0" applyFont="1" applyFill="1" applyBorder="1"/>
    <xf numFmtId="0" fontId="9" fillId="3" borderId="10" xfId="0" applyFont="1" applyFill="1" applyBorder="1"/>
    <xf numFmtId="0" fontId="8" fillId="3" borderId="6" xfId="0" applyFont="1" applyFill="1" applyBorder="1"/>
    <xf numFmtId="0" fontId="9" fillId="3" borderId="4" xfId="0" applyFont="1" applyFill="1" applyBorder="1"/>
    <xf numFmtId="0" fontId="9" fillId="3" borderId="5" xfId="0" applyFont="1" applyFill="1" applyBorder="1"/>
    <xf numFmtId="0" fontId="5" fillId="2" borderId="12" xfId="0" applyFont="1" applyFill="1" applyBorder="1"/>
    <xf numFmtId="44" fontId="5" fillId="2" borderId="13" xfId="1" applyFont="1" applyFill="1" applyBorder="1"/>
    <xf numFmtId="10" fontId="5" fillId="2" borderId="14" xfId="2" applyNumberFormat="1" applyFont="1" applyFill="1" applyBorder="1"/>
    <xf numFmtId="0" fontId="5" fillId="0" borderId="15" xfId="0" applyFont="1" applyBorder="1"/>
    <xf numFmtId="44" fontId="5" fillId="0" borderId="14" xfId="1" applyFont="1" applyBorder="1"/>
    <xf numFmtId="10" fontId="5" fillId="2" borderId="13" xfId="2" applyNumberFormat="1" applyFont="1" applyFill="1" applyBorder="1"/>
    <xf numFmtId="10" fontId="5" fillId="2" borderId="0" xfId="2" applyNumberFormat="1" applyFont="1" applyFill="1"/>
    <xf numFmtId="164" fontId="10" fillId="0" borderId="16" xfId="1" applyNumberFormat="1" applyFont="1" applyBorder="1"/>
    <xf numFmtId="10" fontId="10" fillId="0" borderId="13" xfId="2" applyNumberFormat="1" applyFont="1" applyBorder="1"/>
    <xf numFmtId="0" fontId="5" fillId="0" borderId="1" xfId="0" applyFont="1" applyBorder="1"/>
    <xf numFmtId="0" fontId="5" fillId="0" borderId="0" xfId="0" applyFont="1" applyBorder="1"/>
    <xf numFmtId="0" fontId="5" fillId="0" borderId="9" xfId="0" applyFont="1" applyBorder="1"/>
    <xf numFmtId="0" fontId="5" fillId="0" borderId="11" xfId="0" applyFont="1" applyBorder="1"/>
    <xf numFmtId="0" fontId="5" fillId="0" borderId="7" xfId="0" applyFont="1" applyBorder="1"/>
    <xf numFmtId="0" fontId="5" fillId="0" borderId="2" xfId="0" applyFont="1" applyBorder="1"/>
    <xf numFmtId="10" fontId="5" fillId="2" borderId="17" xfId="2" applyNumberFormat="1" applyFont="1" applyFill="1" applyBorder="1"/>
    <xf numFmtId="10" fontId="5" fillId="0" borderId="17" xfId="2" applyNumberFormat="1" applyFont="1" applyBorder="1"/>
    <xf numFmtId="164" fontId="10" fillId="0" borderId="17" xfId="1" applyNumberFormat="1" applyFont="1" applyBorder="1"/>
    <xf numFmtId="10" fontId="5" fillId="2" borderId="18" xfId="2" applyNumberFormat="1" applyFont="1" applyFill="1" applyBorder="1"/>
    <xf numFmtId="10" fontId="5" fillId="2" borderId="19" xfId="2" applyNumberFormat="1" applyFont="1" applyFill="1" applyBorder="1"/>
    <xf numFmtId="0" fontId="7" fillId="3" borderId="20" xfId="0" applyFont="1" applyFill="1" applyBorder="1"/>
    <xf numFmtId="0" fontId="11" fillId="3" borderId="21" xfId="0" applyFont="1" applyFill="1" applyBorder="1" applyAlignment="1">
      <alignment horizontal="center" vertical="center"/>
    </xf>
    <xf numFmtId="44" fontId="5" fillId="0" borderId="21" xfId="1" applyFont="1" applyBorder="1" applyAlignment="1">
      <alignment horizontal="center"/>
    </xf>
    <xf numFmtId="44" fontId="5" fillId="0" borderId="22" xfId="1" applyFont="1" applyBorder="1" applyAlignment="1">
      <alignment horizontal="center"/>
    </xf>
    <xf numFmtId="44" fontId="11" fillId="3" borderId="21" xfId="1" applyFont="1" applyFill="1" applyBorder="1" applyAlignment="1">
      <alignment horizontal="center" vertical="center"/>
    </xf>
    <xf numFmtId="164" fontId="5" fillId="0" borderId="21" xfId="0" applyNumberFormat="1" applyFont="1" applyBorder="1" applyAlignment="1">
      <alignment horizontal="center"/>
    </xf>
    <xf numFmtId="164" fontId="5" fillId="0" borderId="22" xfId="0" applyNumberFormat="1"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11" fillId="3" borderId="20" xfId="0"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C94DC"/>
      <color rgb="FFFFFECC"/>
      <color rgb="FF404040"/>
      <color rgb="FF0065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590550</xdr:colOff>
      <xdr:row>1</xdr:row>
      <xdr:rowOff>19050</xdr:rowOff>
    </xdr:from>
    <xdr:to>
      <xdr:col>9</xdr:col>
      <xdr:colOff>542925</xdr:colOff>
      <xdr:row>8</xdr:row>
      <xdr:rowOff>114300</xdr:rowOff>
    </xdr:to>
    <xdr:sp macro="" textlink="">
      <xdr:nvSpPr>
        <xdr:cNvPr id="1031" name="Text Box 7">
          <a:extLst>
            <a:ext uri="{FF2B5EF4-FFF2-40B4-BE49-F238E27FC236}">
              <a16:creationId xmlns:a16="http://schemas.microsoft.com/office/drawing/2014/main" xmlns="" id="{00000000-0008-0000-0000-000007040000}"/>
            </a:ext>
          </a:extLst>
        </xdr:cNvPr>
        <xdr:cNvSpPr txBox="1">
          <a:spLocks noChangeArrowheads="1"/>
        </xdr:cNvSpPr>
      </xdr:nvSpPr>
      <xdr:spPr bwMode="auto">
        <a:xfrm>
          <a:off x="8629650" y="190500"/>
          <a:ext cx="1971675" cy="1476375"/>
        </a:xfrm>
        <a:prstGeom prst="rect">
          <a:avLst/>
        </a:prstGeom>
        <a:solidFill>
          <a:srgbClr val="FFFFFF"/>
        </a:solidFill>
        <a:ln w="19050">
          <a:solidFill>
            <a:srgbClr val="404040"/>
          </a:solidFill>
          <a:prstDash val="dash"/>
          <a:miter lim="800000"/>
          <a:headEnd/>
          <a:tailEnd/>
        </a:ln>
      </xdr:spPr>
      <xdr:txBody>
        <a:bodyPr vertOverflow="clip" wrap="square" lIns="27432" tIns="22860" rIns="27432" bIns="0" anchor="ctr" upright="1"/>
        <a:lstStyle/>
        <a:p>
          <a:pPr algn="ctr" rtl="0">
            <a:defRPr sz="1000"/>
          </a:pPr>
          <a:r>
            <a:rPr lang="en-US" sz="1000" b="1" i="0" strike="noStrike">
              <a:solidFill>
                <a:srgbClr val="0065C1"/>
              </a:solidFill>
              <a:latin typeface="Arial"/>
              <a:cs typeface="Arial"/>
            </a:rPr>
            <a:t>Estimated figure.  Based on how many technicians you have or hours that people who work in service for the company actually perform.  Red corners in cells review comment boxes to explain in more detail.</a:t>
          </a:r>
        </a:p>
      </xdr:txBody>
    </xdr:sp>
    <xdr:clientData/>
  </xdr:twoCellAnchor>
  <xdr:twoCellAnchor>
    <xdr:from>
      <xdr:col>6</xdr:col>
      <xdr:colOff>371475</xdr:colOff>
      <xdr:row>3</xdr:row>
      <xdr:rowOff>76200</xdr:rowOff>
    </xdr:from>
    <xdr:to>
      <xdr:col>7</xdr:col>
      <xdr:colOff>514350</xdr:colOff>
      <xdr:row>7</xdr:row>
      <xdr:rowOff>85725</xdr:rowOff>
    </xdr:to>
    <xdr:sp macro="" textlink="">
      <xdr:nvSpPr>
        <xdr:cNvPr id="1034" name="Text Box 10">
          <a:extLst>
            <a:ext uri="{FF2B5EF4-FFF2-40B4-BE49-F238E27FC236}">
              <a16:creationId xmlns:a16="http://schemas.microsoft.com/office/drawing/2014/main" xmlns="" id="{00000000-0008-0000-0000-00000A040000}"/>
            </a:ext>
          </a:extLst>
        </xdr:cNvPr>
        <xdr:cNvSpPr txBox="1">
          <a:spLocks noChangeArrowheads="1"/>
        </xdr:cNvSpPr>
      </xdr:nvSpPr>
      <xdr:spPr bwMode="auto">
        <a:xfrm>
          <a:off x="7467600" y="647700"/>
          <a:ext cx="1085850" cy="790575"/>
        </a:xfrm>
        <a:prstGeom prst="rect">
          <a:avLst/>
        </a:prstGeom>
        <a:solidFill>
          <a:srgbClr val="FFFFFF"/>
        </a:solidFill>
        <a:ln w="19050">
          <a:solidFill>
            <a:srgbClr val="404040"/>
          </a:solidFill>
          <a:prstDash val="dash"/>
          <a:miter lim="800000"/>
          <a:headEnd/>
          <a:tailEnd/>
        </a:ln>
      </xdr:spPr>
      <xdr:txBody>
        <a:bodyPr vertOverflow="clip" wrap="square" lIns="27432" tIns="22860" rIns="0" bIns="0" anchor="ctr" upright="1"/>
        <a:lstStyle/>
        <a:p>
          <a:pPr algn="ctr" rtl="0">
            <a:defRPr sz="1000"/>
          </a:pPr>
          <a:r>
            <a:rPr lang="en-US" sz="1000" b="1" i="0" strike="noStrike">
              <a:solidFill>
                <a:srgbClr val="0065C1"/>
              </a:solidFill>
              <a:latin typeface="Arial"/>
              <a:cs typeface="Arial"/>
            </a:rPr>
            <a:t>Industry average 52%.  Target is 75% or better.  Calculate yours.</a:t>
          </a:r>
        </a:p>
      </xdr:txBody>
    </xdr:sp>
    <xdr:clientData/>
  </xdr:twoCellAnchor>
  <xdr:twoCellAnchor>
    <xdr:from>
      <xdr:col>5</xdr:col>
      <xdr:colOff>38100</xdr:colOff>
      <xdr:row>1</xdr:row>
      <xdr:rowOff>123825</xdr:rowOff>
    </xdr:from>
    <xdr:to>
      <xdr:col>7</xdr:col>
      <xdr:colOff>581025</xdr:colOff>
      <xdr:row>1</xdr:row>
      <xdr:rowOff>123825</xdr:rowOff>
    </xdr:to>
    <xdr:cxnSp macro="">
      <xdr:nvCxnSpPr>
        <xdr:cNvPr id="7" name="Straight Arrow Connector 6"/>
        <xdr:cNvCxnSpPr/>
      </xdr:nvCxnSpPr>
      <xdr:spPr bwMode="auto">
        <a:xfrm flipH="1">
          <a:off x="5276850" y="295275"/>
          <a:ext cx="3343275" cy="0"/>
        </a:xfrm>
        <a:prstGeom prst="straightConnector1">
          <a:avLst/>
        </a:prstGeom>
        <a:solidFill>
          <a:srgbClr val="FFFFFF"/>
        </a:solidFill>
        <a:ln w="28575" cap="flat" cmpd="sng" algn="ctr">
          <a:solidFill>
            <a:schemeClr val="accent6">
              <a:lumMod val="60000"/>
              <a:lumOff val="40000"/>
            </a:schemeClr>
          </a:solidFill>
          <a:prstDash val="solid"/>
          <a:round/>
          <a:headEnd type="none" w="med" len="med"/>
          <a:tailEnd type="arrow"/>
        </a:ln>
        <a:effectLst/>
      </xdr:spPr>
    </xdr:cxnSp>
    <xdr:clientData/>
  </xdr:twoCellAnchor>
  <xdr:twoCellAnchor>
    <xdr:from>
      <xdr:col>5</xdr:col>
      <xdr:colOff>66676</xdr:colOff>
      <xdr:row>3</xdr:row>
      <xdr:rowOff>104775</xdr:rowOff>
    </xdr:from>
    <xdr:to>
      <xdr:col>6</xdr:col>
      <xdr:colOff>400050</xdr:colOff>
      <xdr:row>3</xdr:row>
      <xdr:rowOff>104775</xdr:rowOff>
    </xdr:to>
    <xdr:cxnSp macro="">
      <xdr:nvCxnSpPr>
        <xdr:cNvPr id="12" name="Straight Arrow Connector 11"/>
        <xdr:cNvCxnSpPr/>
      </xdr:nvCxnSpPr>
      <xdr:spPr bwMode="auto">
        <a:xfrm flipH="1">
          <a:off x="5305426" y="676275"/>
          <a:ext cx="2190749" cy="0"/>
        </a:xfrm>
        <a:prstGeom prst="straightConnector1">
          <a:avLst/>
        </a:prstGeom>
        <a:solidFill>
          <a:srgbClr val="FFFFFF"/>
        </a:solidFill>
        <a:ln w="28575" cap="flat" cmpd="sng" algn="ctr">
          <a:solidFill>
            <a:schemeClr val="accent6">
              <a:lumMod val="60000"/>
              <a:lumOff val="40000"/>
            </a:schemeClr>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B1:K23"/>
  <sheetViews>
    <sheetView tabSelected="1" topLeftCell="B1" zoomScaleNormal="100" workbookViewId="0">
      <selection activeCell="M12" sqref="M12"/>
    </sheetView>
  </sheetViews>
  <sheetFormatPr defaultColWidth="8.85546875" defaultRowHeight="12.75" x14ac:dyDescent="0.2"/>
  <cols>
    <col min="3" max="3" width="55.140625" customWidth="1"/>
    <col min="4" max="4" width="0.140625" customWidth="1"/>
    <col min="5" max="5" width="12.42578125" bestFit="1" customWidth="1"/>
    <col min="6" max="6" width="27.85546875" customWidth="1"/>
    <col min="7" max="7" width="14.140625" bestFit="1" customWidth="1"/>
    <col min="8" max="8" width="14.42578125" bestFit="1" customWidth="1"/>
    <col min="9" max="9" width="15.85546875" bestFit="1" customWidth="1"/>
  </cols>
  <sheetData>
    <row r="1" spans="2:11" ht="13.5" thickBot="1" x14ac:dyDescent="0.25">
      <c r="B1" s="1"/>
      <c r="C1" s="1"/>
      <c r="D1" s="1"/>
      <c r="E1" s="1"/>
      <c r="F1" s="2" t="s">
        <v>40</v>
      </c>
      <c r="G1" s="2" t="s">
        <v>8</v>
      </c>
      <c r="H1" s="1"/>
      <c r="I1" s="1"/>
      <c r="J1" s="1"/>
      <c r="K1" s="1"/>
    </row>
    <row r="2" spans="2:11" ht="15.75" x14ac:dyDescent="0.25">
      <c r="B2" s="10" t="s">
        <v>10</v>
      </c>
      <c r="C2" s="26" t="s">
        <v>6</v>
      </c>
      <c r="D2" s="3"/>
      <c r="E2" s="17">
        <f>+(18*2100)</f>
        <v>37800</v>
      </c>
      <c r="F2" s="1"/>
      <c r="G2" s="1"/>
      <c r="H2" s="1"/>
      <c r="I2" s="1"/>
      <c r="J2" s="1"/>
      <c r="K2" s="1"/>
    </row>
    <row r="3" spans="2:11" ht="15.75" x14ac:dyDescent="0.25">
      <c r="B3" s="11"/>
      <c r="C3" s="27" t="s">
        <v>7</v>
      </c>
      <c r="D3" s="4"/>
      <c r="E3" s="18">
        <v>30</v>
      </c>
      <c r="F3" s="23">
        <v>0.3</v>
      </c>
      <c r="G3" s="5">
        <f>+((E3*(1+F3)))</f>
        <v>39</v>
      </c>
      <c r="H3" s="1"/>
      <c r="I3" s="1"/>
      <c r="J3" s="1"/>
      <c r="K3" s="1"/>
    </row>
    <row r="4" spans="2:11" ht="15.75" x14ac:dyDescent="0.25">
      <c r="B4" s="12" t="s">
        <v>11</v>
      </c>
      <c r="C4" s="28" t="s">
        <v>22</v>
      </c>
      <c r="D4" s="6"/>
      <c r="E4" s="19">
        <v>0.5</v>
      </c>
      <c r="F4" s="1"/>
      <c r="G4" s="1"/>
      <c r="H4" s="1"/>
      <c r="I4" s="1"/>
      <c r="J4" s="1"/>
      <c r="K4" s="1"/>
    </row>
    <row r="5" spans="2:11" ht="15" x14ac:dyDescent="0.2">
      <c r="B5" s="13"/>
      <c r="C5" s="29" t="s">
        <v>9</v>
      </c>
      <c r="D5" s="7"/>
      <c r="E5" s="20"/>
      <c r="F5" s="1"/>
      <c r="G5" s="1"/>
      <c r="H5" s="1"/>
      <c r="I5" s="1"/>
      <c r="J5" s="1"/>
      <c r="K5" s="1"/>
    </row>
    <row r="6" spans="2:11" ht="15.75" x14ac:dyDescent="0.25">
      <c r="B6" s="12" t="s">
        <v>0</v>
      </c>
      <c r="C6" s="28" t="s">
        <v>1</v>
      </c>
      <c r="D6" s="6"/>
      <c r="E6" s="21">
        <f>+(E3/E4)</f>
        <v>60</v>
      </c>
      <c r="F6" s="1"/>
      <c r="G6" s="1"/>
      <c r="H6" s="1"/>
      <c r="I6" s="1"/>
      <c r="J6" s="1"/>
      <c r="K6" s="1"/>
    </row>
    <row r="7" spans="2:11" ht="15" x14ac:dyDescent="0.2">
      <c r="B7" s="13"/>
      <c r="C7" s="29" t="s">
        <v>2</v>
      </c>
      <c r="D7" s="7"/>
      <c r="E7" s="20"/>
      <c r="F7" s="1"/>
      <c r="G7" s="1"/>
      <c r="H7" s="1"/>
      <c r="I7" s="1"/>
      <c r="J7" s="1"/>
      <c r="K7" s="1"/>
    </row>
    <row r="8" spans="2:11" ht="15.75" x14ac:dyDescent="0.25">
      <c r="B8" s="11" t="s">
        <v>3</v>
      </c>
      <c r="C8" s="27" t="s">
        <v>23</v>
      </c>
      <c r="D8" s="4"/>
      <c r="E8" s="25">
        <v>0.22</v>
      </c>
      <c r="F8" s="1"/>
      <c r="G8" s="1"/>
      <c r="H8" s="1"/>
      <c r="I8" s="1"/>
      <c r="J8" s="1"/>
      <c r="K8" s="1"/>
    </row>
    <row r="9" spans="2:11" ht="15.75" x14ac:dyDescent="0.25">
      <c r="B9" s="14" t="s">
        <v>24</v>
      </c>
      <c r="C9" s="30" t="s">
        <v>25</v>
      </c>
      <c r="D9" s="8"/>
      <c r="E9" s="24">
        <f>+(E6/E8)</f>
        <v>272.72727272727275</v>
      </c>
      <c r="F9" s="1"/>
      <c r="G9" s="1"/>
      <c r="H9" s="1"/>
      <c r="I9" s="1"/>
      <c r="J9" s="1"/>
      <c r="K9" s="1"/>
    </row>
    <row r="10" spans="2:11" ht="15.75" x14ac:dyDescent="0.25">
      <c r="B10" s="11" t="s">
        <v>26</v>
      </c>
      <c r="C10" s="27" t="s">
        <v>17</v>
      </c>
      <c r="D10" s="4"/>
      <c r="E10" s="22">
        <v>7.0000000000000007E-2</v>
      </c>
      <c r="F10" s="1"/>
      <c r="G10" s="1"/>
      <c r="H10" s="1"/>
      <c r="I10" s="1"/>
      <c r="J10" s="1"/>
      <c r="K10" s="1"/>
    </row>
    <row r="11" spans="2:11" ht="15.75" x14ac:dyDescent="0.25">
      <c r="B11" s="14" t="s">
        <v>27</v>
      </c>
      <c r="C11" s="30" t="s">
        <v>28</v>
      </c>
      <c r="D11" s="8"/>
      <c r="E11" s="32">
        <v>0.3</v>
      </c>
      <c r="F11" s="37"/>
      <c r="G11" s="37"/>
      <c r="H11" s="37"/>
      <c r="I11" s="46" t="s">
        <v>18</v>
      </c>
      <c r="J11" s="1"/>
      <c r="K11" s="1"/>
    </row>
    <row r="12" spans="2:11" ht="15.75" x14ac:dyDescent="0.25">
      <c r="B12" s="14" t="s">
        <v>29</v>
      </c>
      <c r="C12" s="30" t="s">
        <v>30</v>
      </c>
      <c r="D12" s="8"/>
      <c r="E12" s="33">
        <f>+(E10*E11)</f>
        <v>2.1000000000000001E-2</v>
      </c>
      <c r="F12" s="38" t="s">
        <v>19</v>
      </c>
      <c r="G12" s="41" t="s">
        <v>20</v>
      </c>
      <c r="H12" s="38" t="s">
        <v>21</v>
      </c>
      <c r="I12" s="38" t="s">
        <v>5</v>
      </c>
      <c r="J12" s="1"/>
      <c r="K12" s="1"/>
    </row>
    <row r="13" spans="2:11" ht="15.75" x14ac:dyDescent="0.25">
      <c r="B13" s="14" t="s">
        <v>31</v>
      </c>
      <c r="C13" s="30" t="s">
        <v>33</v>
      </c>
      <c r="D13" s="8"/>
      <c r="E13" s="34">
        <f>+((E9/(1-E12)))</f>
        <v>278.57739808710187</v>
      </c>
      <c r="F13" s="38" t="s">
        <v>34</v>
      </c>
      <c r="G13" s="41" t="s">
        <v>35</v>
      </c>
      <c r="H13" s="38" t="s">
        <v>36</v>
      </c>
      <c r="I13" s="38" t="s">
        <v>37</v>
      </c>
      <c r="J13" s="1"/>
      <c r="K13" s="1"/>
    </row>
    <row r="14" spans="2:11" ht="15.75" x14ac:dyDescent="0.25">
      <c r="B14" s="11" t="s">
        <v>32</v>
      </c>
      <c r="C14" s="27" t="s">
        <v>39</v>
      </c>
      <c r="D14" s="4"/>
      <c r="E14" s="35">
        <v>0.02</v>
      </c>
      <c r="F14" s="39">
        <f>+(((E$3/(E$4+E14))/E$8)/(1-E$12))</f>
        <v>267.86288277605951</v>
      </c>
      <c r="G14" s="42">
        <f>+($E$13-F14)</f>
        <v>10.714515311042362</v>
      </c>
      <c r="H14" s="44">
        <f>+(($E$2)*(E14+$E$4))</f>
        <v>19656</v>
      </c>
      <c r="I14" s="39">
        <f t="shared" ref="I14:I21" si="0">+((G14*($H14-($E$2*$E$4))))</f>
        <v>8100.1735751480255</v>
      </c>
      <c r="J14" s="1"/>
      <c r="K14" s="1"/>
    </row>
    <row r="15" spans="2:11" ht="15" x14ac:dyDescent="0.2">
      <c r="B15" s="15"/>
      <c r="C15" s="27" t="s">
        <v>12</v>
      </c>
      <c r="D15" s="4"/>
      <c r="E15" s="35">
        <v>0.01</v>
      </c>
      <c r="F15" s="39">
        <f>+(((E$3/(E$4+E14+E15))/E$8)/(1-E$12))</f>
        <v>262.80886611990741</v>
      </c>
      <c r="G15" s="42">
        <f t="shared" ref="G15:G21" si="1">+($E$13-F15)</f>
        <v>15.768531967194463</v>
      </c>
      <c r="H15" s="44">
        <f>+(($E$2)*($E$4+E14+E15))</f>
        <v>20034</v>
      </c>
      <c r="I15" s="39">
        <f t="shared" si="0"/>
        <v>17881.515250798522</v>
      </c>
      <c r="J15" s="1"/>
      <c r="K15" s="1"/>
    </row>
    <row r="16" spans="2:11" ht="15" x14ac:dyDescent="0.2">
      <c r="B16" s="15"/>
      <c r="C16" s="27" t="s">
        <v>13</v>
      </c>
      <c r="D16" s="4"/>
      <c r="E16" s="35">
        <v>0.02</v>
      </c>
      <c r="F16" s="39">
        <f>+(((E$3/(E$4+E14+E15+E16))/E$8)/(1-E$12))</f>
        <v>253.25218007918349</v>
      </c>
      <c r="G16" s="42">
        <f t="shared" si="1"/>
        <v>25.32521800791838</v>
      </c>
      <c r="H16" s="44">
        <f>+(($E$2)*($E$4+E14+E15+E16))</f>
        <v>20790</v>
      </c>
      <c r="I16" s="39">
        <f t="shared" si="0"/>
        <v>47864.662034965739</v>
      </c>
      <c r="J16" s="1"/>
      <c r="K16" s="1"/>
    </row>
    <row r="17" spans="2:11" ht="15" x14ac:dyDescent="0.2">
      <c r="B17" s="15"/>
      <c r="C17" s="27" t="s">
        <v>14</v>
      </c>
      <c r="D17" s="4"/>
      <c r="E17" s="35">
        <v>0.03</v>
      </c>
      <c r="F17" s="39">
        <f>+(((E$3/(E$4+E14+E15+E16+E17))/E$8)/(1-E$12))</f>
        <v>240.1529293854326</v>
      </c>
      <c r="G17" s="42">
        <f t="shared" si="1"/>
        <v>38.424468701669269</v>
      </c>
      <c r="H17" s="44">
        <f>+(($E$2)*($E$4+E14+E15+E16+E17))</f>
        <v>21924.000000000004</v>
      </c>
      <c r="I17" s="39">
        <f t="shared" si="0"/>
        <v>116195.59335384802</v>
      </c>
      <c r="J17" s="1"/>
      <c r="K17" s="1"/>
    </row>
    <row r="18" spans="2:11" ht="15" x14ac:dyDescent="0.2">
      <c r="B18" s="15"/>
      <c r="C18" s="27" t="s">
        <v>15</v>
      </c>
      <c r="D18" s="4"/>
      <c r="E18" s="35">
        <v>0.03</v>
      </c>
      <c r="F18" s="39">
        <f>+(((E$3/(E$4+E14+E15+E16+E17+E18))/E$8)/(1-E$12))</f>
        <v>228.34212957959167</v>
      </c>
      <c r="G18" s="42">
        <f t="shared" si="1"/>
        <v>50.235268507510199</v>
      </c>
      <c r="H18" s="44">
        <f>+(($E$2)*($E$4+E14+E15+E16+E17+E18))</f>
        <v>23058.000000000004</v>
      </c>
      <c r="I18" s="39">
        <f t="shared" si="0"/>
        <v>208878.2464542276</v>
      </c>
      <c r="J18" s="1"/>
      <c r="K18" s="1"/>
    </row>
    <row r="19" spans="2:11" ht="15" x14ac:dyDescent="0.2">
      <c r="B19" s="15"/>
      <c r="C19" s="27" t="s">
        <v>16</v>
      </c>
      <c r="D19" s="4"/>
      <c r="E19" s="35">
        <v>0.02</v>
      </c>
      <c r="F19" s="39">
        <f>+(((E$3/(E$4+E14+E15+E16+E17+E18+E19))/E$8)/(1-E$12))</f>
        <v>221.09317308500147</v>
      </c>
      <c r="G19" s="42">
        <f t="shared" si="1"/>
        <v>57.484225002100402</v>
      </c>
      <c r="H19" s="44">
        <f>+(($E$2)*($E$4+E14+E15+E16+E17+E18+E19))</f>
        <v>23814.000000000004</v>
      </c>
      <c r="I19" s="39">
        <f t="shared" si="0"/>
        <v>282477.48166032159</v>
      </c>
      <c r="J19" s="1"/>
      <c r="K19" s="1"/>
    </row>
    <row r="20" spans="2:11" ht="15" x14ac:dyDescent="0.2">
      <c r="B20" s="15"/>
      <c r="C20" s="27" t="s">
        <v>4</v>
      </c>
      <c r="D20" s="4"/>
      <c r="E20" s="35">
        <v>0.05</v>
      </c>
      <c r="F20" s="39">
        <f>+(((E$3/(E$4+E14+E15+E16+E17+E18+E19+E20))/E$8)/(1-E$12))</f>
        <v>204.83632212286898</v>
      </c>
      <c r="G20" s="42">
        <f t="shared" si="1"/>
        <v>73.741075964232891</v>
      </c>
      <c r="H20" s="44">
        <f>+(($E$2)*($E$4+E14+E15+E16+E17+E18+E19+E20))</f>
        <v>25704.000000000007</v>
      </c>
      <c r="I20" s="39">
        <f t="shared" si="0"/>
        <v>501734.28086064116</v>
      </c>
      <c r="J20" s="1"/>
      <c r="K20" s="1"/>
    </row>
    <row r="21" spans="2:11" ht="15.75" thickBot="1" x14ac:dyDescent="0.25">
      <c r="B21" s="16"/>
      <c r="C21" s="31" t="s">
        <v>38</v>
      </c>
      <c r="D21" s="9"/>
      <c r="E21" s="36">
        <v>0.01</v>
      </c>
      <c r="F21" s="40">
        <f>+(((E$3/(E$4+E14+E15+E16+E17+E18+E19+E20+E21))/E$8)/(1-E$12))</f>
        <v>201.86767977326218</v>
      </c>
      <c r="G21" s="43">
        <f t="shared" si="1"/>
        <v>76.709718313839687</v>
      </c>
      <c r="H21" s="45">
        <f>+(($E$2)*($E$4+E14+E15+E16+E17+E18+E19+E20+E21))</f>
        <v>26082.000000000007</v>
      </c>
      <c r="I21" s="40">
        <f t="shared" si="0"/>
        <v>550929.19692999718</v>
      </c>
      <c r="J21" s="1"/>
      <c r="K21" s="1"/>
    </row>
    <row r="22" spans="2:11" x14ac:dyDescent="0.2">
      <c r="B22" s="1"/>
      <c r="C22" s="1"/>
      <c r="D22" s="1"/>
      <c r="E22" s="1"/>
      <c r="F22" s="1"/>
      <c r="G22" s="1"/>
      <c r="H22" s="1"/>
      <c r="I22" s="1"/>
      <c r="J22" s="1"/>
      <c r="K22" s="1"/>
    </row>
    <row r="23" spans="2:11" x14ac:dyDescent="0.2">
      <c r="B23" s="1"/>
      <c r="C23" s="1"/>
      <c r="D23" s="1"/>
      <c r="E23" s="1"/>
      <c r="F23" s="1"/>
      <c r="G23" s="1"/>
      <c r="H23" s="1"/>
      <c r="I23" s="1"/>
      <c r="J23" s="1"/>
      <c r="K23" s="1"/>
    </row>
  </sheetData>
  <phoneticPr fontId="0" type="noConversion"/>
  <pageMargins left="0.75" right="0.75" top="1" bottom="1" header="0.5" footer="0.5"/>
  <pageSetup orientation="portrait" r:id="rId1"/>
  <headerFooter alignWithMargins="0"/>
  <drawing r:id="rId2"/>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street rate - benefits</vt:lpstr>
    </vt:vector>
  </TitlesOfParts>
  <Company>EPC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elekes</dc:creator>
  <cp:lastModifiedBy>Jennifer Melendez</cp:lastModifiedBy>
  <cp:lastPrinted>2011-06-16T13:29:45Z</cp:lastPrinted>
  <dcterms:created xsi:type="dcterms:W3CDTF">2000-09-08T14:26:01Z</dcterms:created>
  <dcterms:modified xsi:type="dcterms:W3CDTF">2017-10-25T19:11:57Z</dcterms:modified>
</cp:coreProperties>
</file>