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3040" windowHeight="10005" activeTab="2"/>
  </bookViews>
  <sheets>
    <sheet name="10 YR SA Plan Discount Schedule" sheetId="12" r:id="rId1"/>
    <sheet name="Agreement Pricing" sheetId="11" r:id="rId2"/>
    <sheet name="SA Field Supervisor Pay" sheetId="13" r:id="rId3"/>
  </sheets>
  <calcPr calcId="145621" concurrentCalc="0"/>
</workbook>
</file>

<file path=xl/calcChain.xml><?xml version="1.0" encoding="utf-8"?>
<calcChain xmlns="http://schemas.openxmlformats.org/spreadsheetml/2006/main">
  <c r="C15" i="13" l="1"/>
  <c r="D7" i="12"/>
  <c r="E8" i="12"/>
  <c r="E7" i="12"/>
  <c r="D8" i="12"/>
  <c r="D9" i="12"/>
  <c r="E9" i="12"/>
  <c r="D10" i="12"/>
  <c r="D11" i="12"/>
  <c r="E11" i="12"/>
  <c r="D31" i="12"/>
  <c r="E10" i="12"/>
  <c r="E35" i="12"/>
  <c r="E34" i="12"/>
  <c r="E33" i="12"/>
  <c r="E32" i="12"/>
  <c r="E31" i="12"/>
  <c r="D35" i="12"/>
  <c r="D34" i="12"/>
  <c r="D33" i="12"/>
  <c r="D32" i="12"/>
  <c r="N31" i="13"/>
  <c r="M31" i="13"/>
  <c r="L31" i="13"/>
  <c r="K31" i="13"/>
  <c r="J31" i="13"/>
  <c r="J34" i="13"/>
  <c r="I31" i="13"/>
  <c r="H31" i="13"/>
  <c r="G31" i="13"/>
  <c r="G34" i="13"/>
  <c r="F31" i="13"/>
  <c r="F34" i="13"/>
  <c r="E31" i="13"/>
  <c r="D31" i="13"/>
  <c r="C31" i="13"/>
  <c r="C33" i="13"/>
  <c r="C40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8" i="13"/>
  <c r="O44" i="13"/>
  <c r="O43" i="13"/>
  <c r="O41" i="13"/>
  <c r="C17" i="13"/>
  <c r="D17" i="13"/>
  <c r="D18" i="13"/>
  <c r="D39" i="13"/>
  <c r="C18" i="13"/>
  <c r="C39" i="13"/>
  <c r="G15" i="13"/>
  <c r="N15" i="13"/>
  <c r="M15" i="13"/>
  <c r="L15" i="13"/>
  <c r="K15" i="13"/>
  <c r="J15" i="13"/>
  <c r="I15" i="13"/>
  <c r="H15" i="13"/>
  <c r="F15" i="13"/>
  <c r="E15" i="13"/>
  <c r="D15" i="13"/>
  <c r="O32" i="13"/>
  <c r="N34" i="13"/>
  <c r="M34" i="13"/>
  <c r="L34" i="13"/>
  <c r="K34" i="13"/>
  <c r="I34" i="13"/>
  <c r="H34" i="13"/>
  <c r="E34" i="13"/>
  <c r="D34" i="13"/>
  <c r="C34" i="13"/>
  <c r="D35" i="13"/>
  <c r="E35" i="13"/>
  <c r="O29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O24" i="13"/>
  <c r="O21" i="13"/>
  <c r="O16" i="13"/>
  <c r="O13" i="13"/>
  <c r="C10" i="13"/>
  <c r="E9" i="13"/>
  <c r="E8" i="13"/>
  <c r="E7" i="13"/>
  <c r="E6" i="13"/>
  <c r="E5" i="13"/>
  <c r="E10" i="13"/>
  <c r="D10" i="13"/>
  <c r="H9" i="12"/>
  <c r="H33" i="12"/>
  <c r="D42" i="11"/>
  <c r="L42" i="11"/>
  <c r="D49" i="11"/>
  <c r="L49" i="11"/>
  <c r="D51" i="11"/>
  <c r="L51" i="11"/>
  <c r="L52" i="11"/>
  <c r="L53" i="11"/>
  <c r="D64" i="11"/>
  <c r="D71" i="11"/>
  <c r="D73" i="11"/>
  <c r="D74" i="11"/>
  <c r="D84" i="11"/>
  <c r="D94" i="11"/>
  <c r="D101" i="11"/>
  <c r="D103" i="11"/>
  <c r="D104" i="11"/>
  <c r="D105" i="11"/>
  <c r="D106" i="11"/>
  <c r="D114" i="11"/>
  <c r="D115" i="11"/>
  <c r="D52" i="11"/>
  <c r="D53" i="11"/>
  <c r="D56" i="11"/>
  <c r="D57" i="11"/>
  <c r="D118" i="11"/>
  <c r="D116" i="11"/>
  <c r="D117" i="11"/>
  <c r="L56" i="11"/>
  <c r="L57" i="11"/>
  <c r="L58" i="11"/>
  <c r="D75" i="11"/>
  <c r="D76" i="11"/>
  <c r="D85" i="11"/>
  <c r="F35" i="13"/>
  <c r="G35" i="13"/>
  <c r="H35" i="13"/>
  <c r="I35" i="13"/>
  <c r="J35" i="13"/>
  <c r="K35" i="13"/>
  <c r="L35" i="13"/>
  <c r="M35" i="13"/>
  <c r="N35" i="13"/>
  <c r="D33" i="13"/>
  <c r="E17" i="13"/>
  <c r="O31" i="13"/>
  <c r="O3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3" i="13"/>
  <c r="O25" i="13"/>
  <c r="O15" i="13"/>
  <c r="H42" i="12"/>
  <c r="H23" i="12"/>
  <c r="F7" i="12"/>
  <c r="F31" i="12"/>
  <c r="G7" i="12"/>
  <c r="G31" i="12"/>
  <c r="H7" i="12"/>
  <c r="H31" i="12"/>
  <c r="F8" i="12"/>
  <c r="F32" i="12"/>
  <c r="F9" i="12"/>
  <c r="F33" i="12"/>
  <c r="F10" i="12"/>
  <c r="F34" i="12"/>
  <c r="F11" i="12"/>
  <c r="F35" i="12"/>
  <c r="D21" i="12"/>
  <c r="G11" i="12"/>
  <c r="G35" i="12"/>
  <c r="H11" i="12"/>
  <c r="H35" i="12"/>
  <c r="D40" i="12"/>
  <c r="G10" i="12"/>
  <c r="G34" i="12"/>
  <c r="H10" i="12"/>
  <c r="H34" i="12"/>
  <c r="G8" i="12"/>
  <c r="G32" i="12"/>
  <c r="G9" i="12"/>
  <c r="G33" i="12"/>
  <c r="H8" i="12"/>
  <c r="H32" i="12"/>
  <c r="D58" i="11"/>
  <c r="F57" i="11"/>
  <c r="D26" i="13"/>
  <c r="D40" i="13"/>
  <c r="E33" i="13"/>
  <c r="E26" i="13"/>
  <c r="F26" i="13"/>
  <c r="G26" i="13"/>
  <c r="H26" i="13"/>
  <c r="I26" i="13"/>
  <c r="J26" i="13"/>
  <c r="K26" i="13"/>
  <c r="L26" i="13"/>
  <c r="M26" i="13"/>
  <c r="N26" i="13"/>
  <c r="F17" i="13"/>
  <c r="E18" i="13"/>
  <c r="E39" i="13"/>
  <c r="D86" i="11"/>
  <c r="D87" i="11"/>
  <c r="D88" i="11"/>
  <c r="H41" i="12"/>
  <c r="H22" i="12"/>
  <c r="G42" i="12"/>
  <c r="G23" i="12"/>
  <c r="G41" i="12"/>
  <c r="G22" i="12"/>
  <c r="H43" i="12"/>
  <c r="H24" i="12"/>
  <c r="G43" i="12"/>
  <c r="G24" i="12"/>
  <c r="H44" i="12"/>
  <c r="H25" i="12"/>
  <c r="G44" i="12"/>
  <c r="G25" i="12"/>
  <c r="F44" i="12"/>
  <c r="F25" i="12"/>
  <c r="F43" i="12"/>
  <c r="F24" i="12"/>
  <c r="F42" i="12"/>
  <c r="F23" i="12"/>
  <c r="F41" i="12"/>
  <c r="F22" i="12"/>
  <c r="E43" i="12"/>
  <c r="E24" i="12"/>
  <c r="E42" i="12"/>
  <c r="E23" i="12"/>
  <c r="E41" i="12"/>
  <c r="E22" i="12"/>
  <c r="D42" i="12"/>
  <c r="D23" i="12"/>
  <c r="D44" i="12"/>
  <c r="D25" i="12"/>
  <c r="D43" i="12"/>
  <c r="D24" i="12"/>
  <c r="D41" i="12"/>
  <c r="D22" i="12"/>
  <c r="E44" i="12"/>
  <c r="E25" i="12"/>
  <c r="H40" i="12"/>
  <c r="H21" i="12"/>
  <c r="G40" i="12"/>
  <c r="G21" i="12"/>
  <c r="F40" i="12"/>
  <c r="F21" i="12"/>
  <c r="E40" i="12"/>
  <c r="E21" i="12"/>
  <c r="E40" i="13"/>
  <c r="F33" i="13"/>
  <c r="G17" i="13"/>
  <c r="F18" i="13"/>
  <c r="F39" i="13"/>
  <c r="H17" i="13"/>
  <c r="G18" i="13"/>
  <c r="G39" i="13"/>
  <c r="F40" i="13"/>
  <c r="G33" i="13"/>
  <c r="I17" i="13"/>
  <c r="H18" i="13"/>
  <c r="H39" i="13"/>
  <c r="G40" i="13"/>
  <c r="H33" i="13"/>
  <c r="H40" i="13"/>
  <c r="I33" i="13"/>
  <c r="J17" i="13"/>
  <c r="I18" i="13"/>
  <c r="I39" i="13"/>
  <c r="K17" i="13"/>
  <c r="J18" i="13"/>
  <c r="J39" i="13"/>
  <c r="I40" i="13"/>
  <c r="J33" i="13"/>
  <c r="K33" i="13"/>
  <c r="J40" i="13"/>
  <c r="L17" i="13"/>
  <c r="K18" i="13"/>
  <c r="K39" i="13"/>
  <c r="M17" i="13"/>
  <c r="L18" i="13"/>
  <c r="L39" i="13"/>
  <c r="K40" i="13"/>
  <c r="L33" i="13"/>
  <c r="L40" i="13"/>
  <c r="M33" i="13"/>
  <c r="N17" i="13"/>
  <c r="N18" i="13"/>
  <c r="N39" i="13"/>
  <c r="M18" i="13"/>
  <c r="M39" i="13"/>
  <c r="O39" i="13"/>
  <c r="M40" i="13"/>
  <c r="N33" i="13"/>
  <c r="N40" i="13"/>
  <c r="O40" i="13"/>
  <c r="O42" i="13"/>
  <c r="O45" i="13"/>
</calcChain>
</file>

<file path=xl/sharedStrings.xml><?xml version="1.0" encoding="utf-8"?>
<sst xmlns="http://schemas.openxmlformats.org/spreadsheetml/2006/main" count="231" uniqueCount="132">
  <si>
    <t>Service/Maintenance Department Costs &amp; Pricing Analysis</t>
  </si>
  <si>
    <t>Considerations in Service Agreeemnt Pricing Systems</t>
  </si>
  <si>
    <t>Issue # 1 - Types- agreements marketed</t>
  </si>
  <si>
    <t>Bronze - Precision Tune-Up ( Semi-Annual or 1st Year Three times a year Schedule)</t>
  </si>
  <si>
    <t>Silver - Energy Saving Agreement - Labor Coverage/Emergency Service &amp; Semi-Annual Maintenance</t>
  </si>
  <si>
    <t>Gold - Energy SavingsAgreement - Parts/Materials/Emergency Service, Labor Coverage &amp; Semi-Annual Maintenance</t>
  </si>
  <si>
    <t>Issue # 2- What to Service?</t>
  </si>
  <si>
    <t>Gas Only, A/C, Packaged, Splits, Oil, Heat Pump System?  Could affect time.</t>
  </si>
  <si>
    <t>Issue # 3- Accessories?</t>
  </si>
  <si>
    <t>Are you going to include accessories?  If so - identify what types</t>
  </si>
  <si>
    <t>and how materials/parts may need inclusion in point # 11.</t>
  </si>
  <si>
    <t>Issue # 4 Age of the equipment?</t>
  </si>
  <si>
    <t>What ages of equipment are desireable.  Are there any DO NOT SELLS!</t>
  </si>
  <si>
    <t>Age 0-5 years , age 6-10 years, age 11 -15,  and over</t>
  </si>
  <si>
    <t>Issue # 5- Equipment Size?</t>
  </si>
  <si>
    <t xml:space="preserve">Are there any sizes you may want to exclude?  </t>
  </si>
  <si>
    <t>Issue # 6- Number of Units?</t>
  </si>
  <si>
    <t>Multiple systems to service?  Travel discounts for multiple systems?</t>
  </si>
  <si>
    <t>Issue # 7- Visit Frequency?</t>
  </si>
  <si>
    <t>How many times are you planning to visit?</t>
  </si>
  <si>
    <t>Issue # 8- Labor Cost ?</t>
  </si>
  <si>
    <t>Maintenance Department labor costs?  Service costs?  Benefits applied?  Use highest wage?</t>
  </si>
  <si>
    <t>Issue # 9- Business Strategy/Margins ?</t>
  </si>
  <si>
    <t>Are you using maintenance as marketing, loss leader, or trying to make a high margin?</t>
  </si>
  <si>
    <t>What are your desired margin goals - based on business strategy for segment - and overhead?</t>
  </si>
  <si>
    <t>Issue # 10- Any miscellaneous costs?</t>
  </si>
  <si>
    <t xml:space="preserve">Trip charges, a third visit strategy, where equipment is positioned in home?  </t>
  </si>
  <si>
    <t>Issue # 11- Costs for materials/parts?</t>
  </si>
  <si>
    <t>Base costs for new/replacement parts - markup occurs later.  Identify the parts</t>
  </si>
  <si>
    <t>involved in agreement, and outline them for parts/labor agreement.</t>
  </si>
  <si>
    <t>Issue # 12- Total Costs/Create a price.</t>
  </si>
  <si>
    <t>This is a form of insurance - spreading risk.  The more volume to spread costs the</t>
  </si>
  <si>
    <t>reduced risk, and additional profit opportunity - allows more competitive pricing.</t>
  </si>
  <si>
    <t>Data Entry</t>
  </si>
  <si>
    <t>Output</t>
  </si>
  <si>
    <t>Step 1 - What is your unburdened cost of Labor</t>
  </si>
  <si>
    <t>Step 2 - What is your Burden Rate (24%)</t>
  </si>
  <si>
    <t>Step 3 - Equipment to be serviced - Time Required?</t>
  </si>
  <si>
    <t xml:space="preserve">                 3 ton A/C System</t>
  </si>
  <si>
    <t xml:space="preserve">                 90% York Furnace</t>
  </si>
  <si>
    <t xml:space="preserve">                 Humidifier/Air Cleaner</t>
  </si>
  <si>
    <t>Total minutes to Complete PTU Work on Site</t>
  </si>
  <si>
    <t>Travel time in actual minutes</t>
  </si>
  <si>
    <t># of Calls in PTU Strategy</t>
  </si>
  <si>
    <t>Step 4 - Conversion to Hours</t>
  </si>
  <si>
    <t>Step 5 - Your Labor Costs to complete work</t>
  </si>
  <si>
    <t>Step 6 - Desired Gross Profit</t>
  </si>
  <si>
    <t>Step 7 - Tax - Labor Taxation/State - Final Price</t>
  </si>
  <si>
    <t>Step 8 - What if Market Price - Enter Price - Get Margin</t>
  </si>
  <si>
    <t>Enter extra minutes - added risk for labor coverage</t>
  </si>
  <si>
    <t>Step 6 - Materials Required - Costs includes taxes</t>
  </si>
  <si>
    <t xml:space="preserve">                Filter Material - Quantity of 2</t>
  </si>
  <si>
    <t>Total Materials Costs</t>
  </si>
  <si>
    <t>Step 7 - Total Labor &amp; Materials Costs</t>
  </si>
  <si>
    <t>Step 8 - Desired Gross Profit</t>
  </si>
  <si>
    <t>Step 9 - Tax - Labor Taxation/State - Final Price</t>
  </si>
  <si>
    <t>Step 10 - What if Market Price - Enter Price - Get Margin</t>
  </si>
  <si>
    <t>Include a free IAQ Report analysis survey</t>
  </si>
  <si>
    <t xml:space="preserve">                5% equipment Replacement cost- Failure Rate</t>
  </si>
  <si>
    <t xml:space="preserve">                 Labor Adder for Coverage of Failures</t>
  </si>
  <si>
    <t>Step 5B - Parts Miscellaneous</t>
  </si>
  <si>
    <t>Step 5A - Your Labor Costs to complete work</t>
  </si>
  <si>
    <t>Step 5C - Any Commissions in Dollars</t>
  </si>
  <si>
    <t>Blended Margin on 2 Yr. Basis</t>
  </si>
  <si>
    <t>Labor Coverage Service Agreement Price</t>
  </si>
  <si>
    <t>Full Parts/Labor Coverage Service Agreement Price</t>
  </si>
  <si>
    <t xml:space="preserve">                 90% Furnace</t>
  </si>
  <si>
    <t>Ultimate Savings Agreement- 1st Yr. Tune-Up Price</t>
  </si>
  <si>
    <t xml:space="preserve">                 90% Coleman Furnace</t>
  </si>
  <si>
    <t>Year Discounts</t>
  </si>
  <si>
    <t>System Discounts</t>
  </si>
  <si>
    <t>Base 1 Year Maintenance price point</t>
  </si>
  <si>
    <t>3 Years</t>
  </si>
  <si>
    <t>1 Year</t>
  </si>
  <si>
    <t>5 Years</t>
  </si>
  <si>
    <t>7 Years</t>
  </si>
  <si>
    <t>10 Years</t>
  </si>
  <si>
    <t>Commissions to PTU Sales</t>
  </si>
  <si>
    <t>Commissions Schedule for PTU Selling Function</t>
  </si>
  <si>
    <t>ENTER DATA in YELLOW AREAS FOR SALES AND MARGINS-PLUS PLANS BY MONTH AND ACTUALS</t>
  </si>
  <si>
    <t>Budget Sales</t>
  </si>
  <si>
    <t>GM % Target</t>
  </si>
  <si>
    <t>GP Plan Dollars</t>
  </si>
  <si>
    <t>TOTALS FOR PAY PLAN</t>
  </si>
  <si>
    <t>% Sales Per Month</t>
  </si>
  <si>
    <t>Month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</si>
  <si>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</si>
  <si>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</si>
  <si>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</si>
  <si>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</si>
  <si>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</si>
  <si>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</si>
  <si>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</si>
  <si>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</si>
  <si>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</si>
  <si>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</si>
  <si>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</si>
  <si>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</si>
  <si>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</t>
  </si>
  <si>
    <t>Plan</t>
  </si>
  <si>
    <t>Actual Sales</t>
  </si>
  <si>
    <t>Variance to Sales Target</t>
  </si>
  <si>
    <t>ENTER BASE SALARY</t>
  </si>
  <si>
    <t>Car Allowance, Phone, Health, and Truck</t>
  </si>
  <si>
    <t>Tech Accessory Dept. Sales</t>
  </si>
  <si>
    <t>CALCULATED - Total Compensation for Field Supervisor - Yearly</t>
  </si>
  <si>
    <t>HOW I Get PAID</t>
  </si>
  <si>
    <t>Net to Overall Sales Plans - Recovery -Overage</t>
  </si>
  <si>
    <t>Direct Maintenance Agreeemnt Sales</t>
  </si>
  <si>
    <t>Earned Commissions Tech Sales Overages</t>
  </si>
  <si>
    <t>Cumulative Sales less budget</t>
  </si>
  <si>
    <t xml:space="preserve">Cumulative Sales   </t>
  </si>
  <si>
    <t>CALCULATED - Pay for Field Supervisor - Yearly</t>
  </si>
  <si>
    <t>Earned Commissions Direct Sales</t>
  </si>
  <si>
    <t>Vacation-Holiday-IRA Plan Contributions</t>
  </si>
  <si>
    <t>Cumulative Sales Overage - Recovery</t>
  </si>
  <si>
    <t>Service Accessory-Tech SalesSales 2014 Budget</t>
  </si>
  <si>
    <t>Field Supervisor Estimated Direct Sales</t>
  </si>
  <si>
    <t>USA MTC Plan Sales + 1st Time Call Repairs</t>
  </si>
  <si>
    <t>These are resulting from Techs being trained and incremetal pay over budget of what existed paid at 6% once over target</t>
  </si>
  <si>
    <t>These are maintenance plan sales off Matrix and Field Supervisor Executed Repairs - paid at 20%</t>
  </si>
  <si>
    <t>These are Direct Sales of Equipment and Accessories by Field Supervisor paid at 6%</t>
  </si>
  <si>
    <t>Accrued Commissions - Paid Against Draw</t>
  </si>
  <si>
    <t>EXAMPLE - Field Supervisor Maintenance Division</t>
  </si>
  <si>
    <t xml:space="preserve"> Financial Effects Commissions Have on Matrix</t>
  </si>
  <si>
    <t>Proactive Service Agreement- 2nd Yr. Tune-Up Price</t>
  </si>
  <si>
    <t>test you air</t>
  </si>
  <si>
    <t>Direct Supervisor Sales (Equip + Accessories)</t>
  </si>
  <si>
    <t>Target Bonuses (Service Agreements Target-Tech Sales Target)</t>
  </si>
  <si>
    <t>Evaluation Tool Cost per Year per Agreement NO Commissions</t>
  </si>
  <si>
    <t xml:space="preserve">                Your Number of Total Comfort Systems</t>
  </si>
  <si>
    <t xml:space="preserve">The year  discounts and the system discounts combine with each other to form a larger discount strategy.   The baseline idea is more breakage over time in longer term agreements offset the discounts.  In addition more repairs are likely by locking in a service client.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</si>
</sst>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rgb="FF0065C1"/>
      <name val="Arial"/>
      <family val="2"/>
    </font>
    <font>
      <b/>
      <sz val="16"/>
      <color theme="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b/>
      <sz val="9"/>
      <color rgb="FF40404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E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5C1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EAAAA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2" fillId="0" borderId="0" xfId="0" applyFont="1" applyFill="1" applyBorder="1"/>
    <xf numFmtId="0" fontId="2" fillId="0" borderId="10" xfId="0" applyFont="1" applyBorder="1" applyAlignment="1">
      <alignment horizontal="center"/>
    </xf>
    <xf numFmtId="164" fontId="9" fillId="7" borderId="10" xfId="0" applyNumberFormat="1" applyFont="1" applyFill="1" applyBorder="1" applyAlignment="1">
      <alignment vertical="top" wrapText="1"/>
    </xf>
    <xf numFmtId="164" fontId="2" fillId="8" borderId="10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9" fillId="7" borderId="24" xfId="0" applyFont="1" applyFill="1" applyBorder="1"/>
    <xf numFmtId="0" fontId="9" fillId="7" borderId="25" xfId="0" applyFont="1" applyFill="1" applyBorder="1"/>
    <xf numFmtId="0" fontId="9" fillId="7" borderId="26" xfId="0" applyFont="1" applyFill="1" applyBorder="1"/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10" fontId="2" fillId="5" borderId="15" xfId="2" applyNumberFormat="1" applyFont="1" applyFill="1" applyBorder="1"/>
    <xf numFmtId="10" fontId="2" fillId="5" borderId="17" xfId="2" applyNumberFormat="1" applyFont="1" applyFill="1" applyBorder="1"/>
    <xf numFmtId="9" fontId="2" fillId="5" borderId="17" xfId="0" applyNumberFormat="1" applyFont="1" applyFill="1" applyBorder="1" applyAlignment="1">
      <alignment horizontal="center"/>
    </xf>
    <xf numFmtId="0" fontId="2" fillId="0" borderId="36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9" fillId="7" borderId="10" xfId="0" applyFont="1" applyFill="1" applyBorder="1"/>
    <xf numFmtId="0" fontId="2" fillId="8" borderId="0" xfId="0" applyFont="1" applyFill="1" applyBorder="1"/>
    <xf numFmtId="0" fontId="0" fillId="0" borderId="30" xfId="0" applyBorder="1"/>
    <xf numFmtId="0" fontId="2" fillId="8" borderId="27" xfId="0" applyFont="1" applyFill="1" applyBorder="1"/>
    <xf numFmtId="0" fontId="2" fillId="8" borderId="28" xfId="0" applyFont="1" applyFill="1" applyBorder="1"/>
    <xf numFmtId="0" fontId="2" fillId="8" borderId="29" xfId="0" applyFont="1" applyFill="1" applyBorder="1"/>
    <xf numFmtId="0" fontId="2" fillId="8" borderId="30" xfId="0" applyFont="1" applyFill="1" applyBorder="1"/>
    <xf numFmtId="0" fontId="2" fillId="8" borderId="31" xfId="0" applyFont="1" applyFill="1" applyBorder="1"/>
    <xf numFmtId="0" fontId="2" fillId="8" borderId="32" xfId="0" applyFont="1" applyFill="1" applyBorder="1"/>
    <xf numFmtId="0" fontId="2" fillId="8" borderId="33" xfId="0" applyFont="1" applyFill="1" applyBorder="1"/>
    <xf numFmtId="0" fontId="2" fillId="8" borderId="34" xfId="0" applyFont="1" applyFill="1" applyBorder="1"/>
    <xf numFmtId="0" fontId="2" fillId="8" borderId="25" xfId="0" applyFont="1" applyFill="1" applyBorder="1"/>
    <xf numFmtId="0" fontId="2" fillId="8" borderId="26" xfId="0" applyFont="1" applyFill="1" applyBorder="1"/>
    <xf numFmtId="0" fontId="2" fillId="8" borderId="24" xfId="0" applyFont="1" applyFill="1" applyBorder="1"/>
    <xf numFmtId="0" fontId="5" fillId="10" borderId="24" xfId="0" applyFont="1" applyFill="1" applyBorder="1"/>
    <xf numFmtId="0" fontId="6" fillId="10" borderId="25" xfId="0" applyFont="1" applyFill="1" applyBorder="1"/>
    <xf numFmtId="0" fontId="6" fillId="10" borderId="26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4" fontId="2" fillId="5" borderId="17" xfId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right" vertical="center"/>
    </xf>
    <xf numFmtId="165" fontId="2" fillId="5" borderId="17" xfId="1" applyNumberFormat="1" applyFont="1" applyFill="1" applyBorder="1" applyAlignment="1">
      <alignment horizontal="right" vertical="center"/>
    </xf>
    <xf numFmtId="166" fontId="2" fillId="5" borderId="17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9" borderId="6" xfId="0" applyFont="1" applyFill="1" applyBorder="1" applyAlignment="1">
      <alignment horizontal="right" vertical="center"/>
    </xf>
    <xf numFmtId="0" fontId="1" fillId="9" borderId="21" xfId="0" applyFont="1" applyFill="1" applyBorder="1" applyAlignment="1">
      <alignment horizontal="right" vertical="center"/>
    </xf>
    <xf numFmtId="0" fontId="1" fillId="9" borderId="20" xfId="0" applyFon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right" vertical="center"/>
    </xf>
    <xf numFmtId="0" fontId="2" fillId="8" borderId="10" xfId="0" applyFont="1" applyFill="1" applyBorder="1"/>
    <xf numFmtId="0" fontId="2" fillId="9" borderId="2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9" fillId="10" borderId="29" xfId="0" applyFont="1" applyFill="1" applyBorder="1" applyAlignment="1">
      <alignment horizontal="right" vertical="center"/>
    </xf>
    <xf numFmtId="0" fontId="9" fillId="10" borderId="25" xfId="0" applyFont="1" applyFill="1" applyBorder="1" applyAlignment="1">
      <alignment horizontal="right" vertical="center"/>
    </xf>
    <xf numFmtId="0" fontId="9" fillId="10" borderId="26" xfId="0" applyFont="1" applyFill="1" applyBorder="1" applyAlignment="1">
      <alignment horizontal="right" vertical="center"/>
    </xf>
    <xf numFmtId="0" fontId="5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right" vertical="center"/>
    </xf>
    <xf numFmtId="0" fontId="6" fillId="10" borderId="26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Fill="1" applyBorder="1"/>
    <xf numFmtId="10" fontId="2" fillId="8" borderId="10" xfId="2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7" borderId="32" xfId="0" applyFont="1" applyFill="1" applyBorder="1"/>
    <xf numFmtId="0" fontId="9" fillId="7" borderId="27" xfId="0" applyFont="1" applyFill="1" applyBorder="1"/>
    <xf numFmtId="0" fontId="9" fillId="7" borderId="11" xfId="0" applyFont="1" applyFill="1" applyBorder="1"/>
    <xf numFmtId="0" fontId="2" fillId="8" borderId="11" xfId="0" applyFont="1" applyFill="1" applyBorder="1"/>
    <xf numFmtId="0" fontId="2" fillId="9" borderId="26" xfId="0" applyFont="1" applyFill="1" applyBorder="1" applyAlignment="1">
      <alignment horizontal="right" vertical="center"/>
    </xf>
    <xf numFmtId="0" fontId="6" fillId="9" borderId="31" xfId="0" applyFont="1" applyFill="1" applyBorder="1" applyAlignment="1">
      <alignment horizontal="right" vertical="center"/>
    </xf>
    <xf numFmtId="0" fontId="1" fillId="9" borderId="30" xfId="0" applyFont="1" applyFill="1" applyBorder="1"/>
    <xf numFmtId="0" fontId="2" fillId="9" borderId="31" xfId="0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34" xfId="0" applyFont="1" applyFill="1" applyBorder="1" applyAlignment="1">
      <alignment horizontal="right" vertical="center"/>
    </xf>
    <xf numFmtId="0" fontId="2" fillId="9" borderId="30" xfId="0" applyFont="1" applyFill="1" applyBorder="1"/>
    <xf numFmtId="0" fontId="2" fillId="9" borderId="13" xfId="0" applyFont="1" applyFill="1" applyBorder="1" applyAlignment="1">
      <alignment horizontal="right" vertical="center"/>
    </xf>
    <xf numFmtId="0" fontId="1" fillId="9" borderId="34" xfId="0" applyFont="1" applyFill="1" applyBorder="1" applyAlignment="1">
      <alignment horizontal="right" vertical="center"/>
    </xf>
    <xf numFmtId="0" fontId="1" fillId="9" borderId="30" xfId="0" applyFont="1" applyFill="1" applyBorder="1" applyAlignment="1">
      <alignment horizontal="right" vertical="center"/>
    </xf>
    <xf numFmtId="0" fontId="1" fillId="9" borderId="31" xfId="0" applyFont="1" applyFill="1" applyBorder="1" applyAlignment="1">
      <alignment horizontal="right" vertical="center"/>
    </xf>
    <xf numFmtId="0" fontId="2" fillId="9" borderId="30" xfId="0" applyFont="1" applyFill="1" applyBorder="1" applyAlignment="1">
      <alignment horizontal="right" vertical="center"/>
    </xf>
    <xf numFmtId="0" fontId="2" fillId="9" borderId="43" xfId="0" applyFont="1" applyFill="1" applyBorder="1"/>
    <xf numFmtId="0" fontId="2" fillId="9" borderId="12" xfId="0" applyFont="1" applyFill="1" applyBorder="1"/>
    <xf numFmtId="0" fontId="9" fillId="9" borderId="6" xfId="0" applyFont="1" applyFill="1" applyBorder="1" applyAlignment="1">
      <alignment horizontal="right" vertical="center"/>
    </xf>
    <xf numFmtId="0" fontId="2" fillId="9" borderId="29" xfId="0" applyFont="1" applyFill="1" applyBorder="1" applyAlignment="1">
      <alignment horizontal="right" vertical="center"/>
    </xf>
    <xf numFmtId="44" fontId="6" fillId="9" borderId="21" xfId="1" applyFont="1" applyFill="1" applyBorder="1" applyAlignment="1">
      <alignment horizontal="right" vertical="center"/>
    </xf>
    <xf numFmtId="44" fontId="2" fillId="9" borderId="29" xfId="1" applyFont="1" applyFill="1" applyBorder="1" applyAlignment="1">
      <alignment horizontal="right" vertical="center"/>
    </xf>
    <xf numFmtId="44" fontId="2" fillId="9" borderId="40" xfId="1" applyFont="1" applyFill="1" applyBorder="1" applyAlignment="1">
      <alignment horizontal="right" vertical="center"/>
    </xf>
    <xf numFmtId="0" fontId="2" fillId="9" borderId="7" xfId="0" applyFont="1" applyFill="1" applyBorder="1" applyAlignment="1">
      <alignment horizontal="right" vertical="center"/>
    </xf>
    <xf numFmtId="0" fontId="2" fillId="9" borderId="40" xfId="0" applyFont="1" applyFill="1" applyBorder="1" applyAlignment="1">
      <alignment horizontal="right" vertical="center"/>
    </xf>
    <xf numFmtId="0" fontId="9" fillId="10" borderId="34" xfId="0" applyFont="1" applyFill="1" applyBorder="1" applyAlignment="1">
      <alignment horizontal="right" vertical="center"/>
    </xf>
    <xf numFmtId="165" fontId="9" fillId="10" borderId="29" xfId="1" applyNumberFormat="1" applyFont="1" applyFill="1" applyBorder="1" applyAlignment="1">
      <alignment horizontal="right" vertical="center"/>
    </xf>
    <xf numFmtId="165" fontId="9" fillId="10" borderId="26" xfId="1" applyNumberFormat="1" applyFont="1" applyFill="1" applyBorder="1" applyAlignment="1">
      <alignment horizontal="right" vertical="center"/>
    </xf>
    <xf numFmtId="2" fontId="9" fillId="10" borderId="29" xfId="0" applyNumberFormat="1" applyFont="1" applyFill="1" applyBorder="1" applyAlignment="1">
      <alignment horizontal="right" vertical="center"/>
    </xf>
    <xf numFmtId="165" fontId="9" fillId="10" borderId="34" xfId="1" applyNumberFormat="1" applyFont="1" applyFill="1" applyBorder="1" applyAlignment="1">
      <alignment horizontal="right" vertical="center"/>
    </xf>
    <xf numFmtId="166" fontId="9" fillId="10" borderId="26" xfId="2" applyNumberFormat="1" applyFont="1" applyFill="1" applyBorder="1" applyAlignment="1">
      <alignment horizontal="right" vertical="center"/>
    </xf>
    <xf numFmtId="165" fontId="9" fillId="10" borderId="10" xfId="0" applyNumberFormat="1" applyFont="1" applyFill="1" applyBorder="1" applyAlignment="1">
      <alignment horizontal="right" vertical="center"/>
    </xf>
    <xf numFmtId="165" fontId="9" fillId="10" borderId="13" xfId="1" applyNumberFormat="1" applyFont="1" applyFill="1" applyBorder="1" applyAlignment="1">
      <alignment horizontal="right" vertical="center"/>
    </xf>
    <xf numFmtId="165" fontId="9" fillId="10" borderId="11" xfId="0" applyNumberFormat="1" applyFont="1" applyFill="1" applyBorder="1" applyAlignment="1">
      <alignment horizontal="right" vertical="center"/>
    </xf>
    <xf numFmtId="165" fontId="9" fillId="10" borderId="26" xfId="2" applyNumberFormat="1" applyFont="1" applyFill="1" applyBorder="1" applyAlignment="1">
      <alignment horizontal="right" vertical="center"/>
    </xf>
    <xf numFmtId="0" fontId="9" fillId="10" borderId="14" xfId="0" applyFont="1" applyFill="1" applyBorder="1" applyAlignment="1">
      <alignment horizontal="right" vertical="center"/>
    </xf>
    <xf numFmtId="10" fontId="9" fillId="10" borderId="26" xfId="2" applyNumberFormat="1" applyFont="1" applyFill="1" applyBorder="1" applyAlignment="1">
      <alignment horizontal="right" vertical="center"/>
    </xf>
    <xf numFmtId="2" fontId="9" fillId="10" borderId="10" xfId="0" applyNumberFormat="1" applyFont="1" applyFill="1" applyBorder="1" applyAlignment="1">
      <alignment horizontal="right" vertical="center"/>
    </xf>
    <xf numFmtId="0" fontId="9" fillId="10" borderId="11" xfId="0" applyFont="1" applyFill="1" applyBorder="1" applyAlignment="1">
      <alignment horizontal="right" vertical="center"/>
    </xf>
    <xf numFmtId="0" fontId="2" fillId="9" borderId="44" xfId="0" applyFont="1" applyFill="1" applyBorder="1" applyAlignment="1">
      <alignment horizontal="right" vertical="center"/>
    </xf>
    <xf numFmtId="0" fontId="2" fillId="9" borderId="42" xfId="0" applyFont="1" applyFill="1" applyBorder="1" applyAlignment="1">
      <alignment horizontal="right" vertical="center"/>
    </xf>
    <xf numFmtId="0" fontId="2" fillId="9" borderId="18" xfId="0" applyFont="1" applyFill="1" applyBorder="1"/>
    <xf numFmtId="0" fontId="2" fillId="9" borderId="21" xfId="0" applyFont="1" applyFill="1" applyBorder="1" applyAlignment="1">
      <alignment horizontal="right" vertical="center"/>
    </xf>
    <xf numFmtId="0" fontId="9" fillId="9" borderId="3" xfId="0" applyFont="1" applyFill="1" applyBorder="1" applyAlignment="1">
      <alignment horizontal="right" vertical="center"/>
    </xf>
    <xf numFmtId="0" fontId="6" fillId="7" borderId="2" xfId="0" applyFont="1" applyFill="1" applyBorder="1"/>
    <xf numFmtId="44" fontId="1" fillId="2" borderId="10" xfId="1" applyFont="1" applyFill="1" applyBorder="1"/>
    <xf numFmtId="44" fontId="8" fillId="2" borderId="18" xfId="1" applyFont="1" applyFill="1" applyBorder="1"/>
    <xf numFmtId="44" fontId="1" fillId="3" borderId="0" xfId="1" applyFont="1" applyFill="1" applyBorder="1"/>
    <xf numFmtId="44" fontId="1" fillId="11" borderId="0" xfId="1" applyFont="1" applyFill="1" applyBorder="1"/>
    <xf numFmtId="0" fontId="9" fillId="7" borderId="4" xfId="0" applyFont="1" applyFill="1" applyBorder="1"/>
    <xf numFmtId="0" fontId="9" fillId="7" borderId="2" xfId="0" applyFont="1" applyFill="1" applyBorder="1"/>
    <xf numFmtId="10" fontId="9" fillId="7" borderId="2" xfId="2" applyNumberFormat="1" applyFont="1" applyFill="1" applyBorder="1"/>
    <xf numFmtId="44" fontId="2" fillId="11" borderId="0" xfId="1" applyFont="1" applyFill="1" applyBorder="1"/>
    <xf numFmtId="0" fontId="13" fillId="0" borderId="0" xfId="0" applyFont="1" applyFill="1"/>
    <xf numFmtId="44" fontId="16" fillId="2" borderId="10" xfId="1" applyFont="1" applyFill="1" applyBorder="1"/>
    <xf numFmtId="44" fontId="16" fillId="0" borderId="23" xfId="1" applyFont="1" applyBorder="1"/>
    <xf numFmtId="44" fontId="15" fillId="2" borderId="18" xfId="1" applyFont="1" applyFill="1" applyBorder="1"/>
    <xf numFmtId="44" fontId="16" fillId="5" borderId="10" xfId="1" applyFont="1" applyFill="1" applyBorder="1"/>
    <xf numFmtId="0" fontId="9" fillId="7" borderId="10" xfId="0" applyFont="1" applyFill="1" applyBorder="1" applyAlignment="1">
      <alignment horizontal="center"/>
    </xf>
    <xf numFmtId="9" fontId="16" fillId="5" borderId="10" xfId="2" applyFont="1" applyFill="1" applyBorder="1"/>
    <xf numFmtId="44" fontId="1" fillId="0" borderId="0" xfId="1" applyFont="1" applyBorder="1"/>
    <xf numFmtId="9" fontId="1" fillId="0" borderId="0" xfId="2" applyFont="1" applyBorder="1"/>
    <xf numFmtId="0" fontId="9" fillId="7" borderId="24" xfId="0" applyFont="1" applyFill="1" applyBorder="1" applyAlignment="1">
      <alignment horizontal="center"/>
    </xf>
    <xf numFmtId="44" fontId="16" fillId="0" borderId="10" xfId="1" applyFont="1" applyFill="1" applyBorder="1"/>
    <xf numFmtId="0" fontId="12" fillId="3" borderId="0" xfId="0" applyFont="1" applyFill="1" applyBorder="1"/>
    <xf numFmtId="0" fontId="6" fillId="7" borderId="33" xfId="0" applyFont="1" applyFill="1" applyBorder="1"/>
    <xf numFmtId="0" fontId="9" fillId="7" borderId="33" xfId="0" applyFont="1" applyFill="1" applyBorder="1"/>
    <xf numFmtId="10" fontId="9" fillId="7" borderId="33" xfId="2" applyNumberFormat="1" applyFont="1" applyFill="1" applyBorder="1"/>
    <xf numFmtId="44" fontId="16" fillId="2" borderId="24" xfId="1" applyFont="1" applyFill="1" applyBorder="1"/>
    <xf numFmtId="44" fontId="16" fillId="5" borderId="24" xfId="1" applyFont="1" applyFill="1" applyBorder="1"/>
    <xf numFmtId="44" fontId="16" fillId="0" borderId="24" xfId="1" applyFont="1" applyFill="1" applyBorder="1"/>
    <xf numFmtId="9" fontId="1" fillId="5" borderId="11" xfId="2" applyFont="1" applyFill="1" applyBorder="1" applyAlignment="1">
      <alignment horizontal="center"/>
    </xf>
    <xf numFmtId="9" fontId="16" fillId="5" borderId="11" xfId="2" applyFont="1" applyFill="1" applyBorder="1" applyAlignment="1">
      <alignment horizontal="center"/>
    </xf>
    <xf numFmtId="44" fontId="15" fillId="9" borderId="10" xfId="1" applyFont="1" applyFill="1" applyBorder="1"/>
    <xf numFmtId="44" fontId="2" fillId="9" borderId="10" xfId="1" applyFont="1" applyFill="1" applyBorder="1"/>
    <xf numFmtId="44" fontId="2" fillId="9" borderId="23" xfId="1" applyFont="1" applyFill="1" applyBorder="1"/>
    <xf numFmtId="44" fontId="17" fillId="5" borderId="10" xfId="1" applyFont="1" applyFill="1" applyBorder="1"/>
    <xf numFmtId="44" fontId="17" fillId="4" borderId="10" xfId="1" applyFont="1" applyFill="1" applyBorder="1"/>
    <xf numFmtId="44" fontId="1" fillId="11" borderId="25" xfId="1" applyFont="1" applyFill="1" applyBorder="1"/>
    <xf numFmtId="44" fontId="1" fillId="11" borderId="26" xfId="1" applyFont="1" applyFill="1" applyBorder="1"/>
    <xf numFmtId="0" fontId="8" fillId="11" borderId="37" xfId="0" applyFont="1" applyFill="1" applyBorder="1"/>
    <xf numFmtId="0" fontId="2" fillId="0" borderId="8" xfId="0" applyFont="1" applyBorder="1"/>
    <xf numFmtId="0" fontId="8" fillId="11" borderId="46" xfId="0" applyFont="1" applyFill="1" applyBorder="1"/>
    <xf numFmtId="44" fontId="2" fillId="11" borderId="25" xfId="1" applyFont="1" applyFill="1" applyBorder="1"/>
    <xf numFmtId="0" fontId="9" fillId="7" borderId="47" xfId="0" applyFont="1" applyFill="1" applyBorder="1"/>
    <xf numFmtId="0" fontId="6" fillId="7" borderId="25" xfId="0" applyFont="1" applyFill="1" applyBorder="1"/>
    <xf numFmtId="44" fontId="1" fillId="11" borderId="28" xfId="1" applyFont="1" applyFill="1" applyBorder="1"/>
    <xf numFmtId="0" fontId="2" fillId="0" borderId="37" xfId="0" applyFont="1" applyBorder="1"/>
    <xf numFmtId="0" fontId="11" fillId="7" borderId="37" xfId="0" applyFont="1" applyFill="1" applyBorder="1"/>
    <xf numFmtId="0" fontId="9" fillId="7" borderId="48" xfId="0" applyFont="1" applyFill="1" applyBorder="1" applyAlignment="1">
      <alignment horizontal="center"/>
    </xf>
    <xf numFmtId="44" fontId="2" fillId="0" borderId="43" xfId="1" applyFont="1" applyBorder="1"/>
    <xf numFmtId="44" fontId="8" fillId="0" borderId="12" xfId="1" applyFont="1" applyFill="1" applyBorder="1"/>
    <xf numFmtId="0" fontId="2" fillId="11" borderId="37" xfId="0" applyFont="1" applyFill="1" applyBorder="1"/>
    <xf numFmtId="0" fontId="2" fillId="11" borderId="49" xfId="0" applyFont="1" applyFill="1" applyBorder="1"/>
    <xf numFmtId="44" fontId="1" fillId="11" borderId="41" xfId="1" applyFont="1" applyFill="1" applyBorder="1"/>
    <xf numFmtId="44" fontId="2" fillId="9" borderId="16" xfId="1" applyFont="1" applyFill="1" applyBorder="1"/>
    <xf numFmtId="44" fontId="1" fillId="0" borderId="19" xfId="1" applyFont="1" applyFill="1" applyBorder="1"/>
    <xf numFmtId="0" fontId="9" fillId="7" borderId="23" xfId="0" applyFont="1" applyFill="1" applyBorder="1" applyAlignment="1">
      <alignment horizontal="center"/>
    </xf>
    <xf numFmtId="44" fontId="15" fillId="0" borderId="43" xfId="1" applyFont="1" applyBorder="1"/>
    <xf numFmtId="44" fontId="15" fillId="2" borderId="12" xfId="1" applyFont="1" applyFill="1" applyBorder="1"/>
    <xf numFmtId="44" fontId="15" fillId="9" borderId="23" xfId="1" applyFont="1" applyFill="1" applyBorder="1"/>
    <xf numFmtId="0" fontId="2" fillId="11" borderId="38" xfId="0" applyFont="1" applyFill="1" applyBorder="1"/>
    <xf numFmtId="44" fontId="16" fillId="11" borderId="16" xfId="1" applyFont="1" applyFill="1" applyBorder="1"/>
    <xf numFmtId="44" fontId="15" fillId="9" borderId="16" xfId="1" applyFont="1" applyFill="1" applyBorder="1"/>
    <xf numFmtId="44" fontId="16" fillId="0" borderId="39" xfId="1" applyFont="1" applyFill="1" applyBorder="1"/>
    <xf numFmtId="0" fontId="2" fillId="0" borderId="0" xfId="0" applyFont="1" applyFill="1"/>
    <xf numFmtId="0" fontId="11" fillId="7" borderId="40" xfId="0" applyFont="1" applyFill="1" applyBorder="1"/>
    <xf numFmtId="44" fontId="16" fillId="0" borderId="18" xfId="1" applyFont="1" applyFill="1" applyBorder="1"/>
    <xf numFmtId="44" fontId="16" fillId="9" borderId="16" xfId="1" applyFont="1" applyFill="1" applyBorder="1"/>
    <xf numFmtId="44" fontId="16" fillId="9" borderId="51" xfId="1" applyFont="1" applyFill="1" applyBorder="1"/>
    <xf numFmtId="44" fontId="16" fillId="0" borderId="19" xfId="1" applyFont="1" applyFill="1" applyBorder="1"/>
    <xf numFmtId="9" fontId="16" fillId="5" borderId="34" xfId="2" applyFont="1" applyFill="1" applyBorder="1" applyAlignment="1">
      <alignment horizontal="center"/>
    </xf>
    <xf numFmtId="9" fontId="2" fillId="9" borderId="16" xfId="2" applyFont="1" applyFill="1" applyBorder="1"/>
    <xf numFmtId="44" fontId="2" fillId="9" borderId="39" xfId="1" applyFont="1" applyFill="1" applyBorder="1"/>
    <xf numFmtId="44" fontId="2" fillId="5" borderId="45" xfId="1" applyFont="1" applyFill="1" applyBorder="1"/>
    <xf numFmtId="9" fontId="16" fillId="5" borderId="32" xfId="2" applyFont="1" applyFill="1" applyBorder="1" applyAlignment="1">
      <alignment horizontal="center"/>
    </xf>
    <xf numFmtId="9" fontId="16" fillId="0" borderId="12" xfId="0" applyNumberFormat="1" applyFont="1" applyBorder="1" applyAlignment="1">
      <alignment horizontal="center"/>
    </xf>
    <xf numFmtId="0" fontId="7" fillId="0" borderId="4" xfId="0" applyFont="1" applyBorder="1"/>
    <xf numFmtId="0" fontId="1" fillId="0" borderId="2" xfId="0" applyFont="1" applyBorder="1"/>
    <xf numFmtId="9" fontId="1" fillId="5" borderId="32" xfId="2" applyFont="1" applyFill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2" fillId="0" borderId="50" xfId="0" applyFont="1" applyBorder="1"/>
    <xf numFmtId="44" fontId="1" fillId="5" borderId="11" xfId="1" applyFont="1" applyFill="1" applyBorder="1"/>
    <xf numFmtId="44" fontId="9" fillId="7" borderId="10" xfId="1" applyFont="1" applyFill="1" applyBorder="1"/>
    <xf numFmtId="0" fontId="9" fillId="7" borderId="36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44" fontId="2" fillId="9" borderId="21" xfId="1" applyFont="1" applyFill="1" applyBorder="1" applyAlignment="1">
      <alignment horizontal="right" vertical="center"/>
    </xf>
    <xf numFmtId="0" fontId="9" fillId="10" borderId="29" xfId="0" applyNumberFormat="1" applyFont="1" applyFill="1" applyBorder="1" applyAlignment="1">
      <alignment horizontal="right" vertical="center"/>
    </xf>
    <xf numFmtId="0" fontId="9" fillId="10" borderId="31" xfId="0" applyFont="1" applyFill="1" applyBorder="1" applyAlignment="1">
      <alignment horizontal="right" vertical="center"/>
    </xf>
    <xf numFmtId="0" fontId="1" fillId="9" borderId="43" xfId="0" applyFont="1" applyFill="1" applyBorder="1"/>
    <xf numFmtId="0" fontId="1" fillId="9" borderId="18" xfId="0" applyFont="1" applyFill="1" applyBorder="1"/>
    <xf numFmtId="0" fontId="1" fillId="9" borderId="12" xfId="0" applyFont="1" applyFill="1" applyBorder="1"/>
    <xf numFmtId="0" fontId="1" fillId="9" borderId="0" xfId="0" applyFont="1" applyFill="1" applyBorder="1" applyAlignment="1">
      <alignment horizontal="right" vertical="center"/>
    </xf>
    <xf numFmtId="0" fontId="1" fillId="9" borderId="27" xfId="0" applyFont="1" applyFill="1" applyBorder="1"/>
    <xf numFmtId="0" fontId="1" fillId="9" borderId="31" xfId="0" applyFont="1" applyFill="1" applyBorder="1"/>
    <xf numFmtId="0" fontId="1" fillId="9" borderId="0" xfId="0" applyFont="1" applyFill="1" applyBorder="1"/>
    <xf numFmtId="0" fontId="1" fillId="9" borderId="29" xfId="0" applyFont="1" applyFill="1" applyBorder="1"/>
    <xf numFmtId="0" fontId="1" fillId="9" borderId="28" xfId="0" applyFont="1" applyFill="1" applyBorder="1"/>
    <xf numFmtId="0" fontId="2" fillId="9" borderId="32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14" fillId="7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2" fillId="0" borderId="31" xfId="0" applyFont="1" applyFill="1" applyBorder="1"/>
    <xf numFmtId="0" fontId="2" fillId="0" borderId="34" xfId="0" applyFont="1" applyFill="1" applyBorder="1"/>
    <xf numFmtId="0" fontId="9" fillId="7" borderId="1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0" fillId="0" borderId="30" xfId="0" applyFill="1" applyBorder="1"/>
    <xf numFmtId="0" fontId="0" fillId="0" borderId="33" xfId="0" applyFill="1" applyBorder="1"/>
    <xf numFmtId="0" fontId="3" fillId="0" borderId="5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/>
    </xf>
    <xf numFmtId="0" fontId="9" fillId="6" borderId="25" xfId="0" applyFont="1" applyFill="1" applyBorder="1" applyAlignment="1">
      <alignment vertical="center"/>
    </xf>
    <xf numFmtId="0" fontId="9" fillId="6" borderId="25" xfId="0" applyFont="1" applyFill="1" applyBorder="1"/>
    <xf numFmtId="0" fontId="2" fillId="6" borderId="25" xfId="0" applyFont="1" applyFill="1" applyBorder="1"/>
    <xf numFmtId="0" fontId="2" fillId="6" borderId="26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164" fontId="2" fillId="5" borderId="17" xfId="1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8" borderId="10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0" fillId="6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7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404040"/>
      <color rgb="FFD9D9D9"/>
      <color rgb="FF808080"/>
      <color rgb="FF0065C1"/>
      <color rgb="FFAEAAAA"/>
      <color rgb="FFE4F1F9"/>
      <color rgb="FFFFFECC"/>
      <color rgb="FF2566B1"/>
      <color rgb="FFFF99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43</xdr:row>
      <xdr:rowOff>104774</xdr:rowOff>
    </xdr:from>
    <xdr:to>
      <xdr:col>8</xdr:col>
      <xdr:colOff>438150</xdr:colOff>
      <xdr:row>54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029325" y="7248524"/>
          <a:ext cx="2781300" cy="1866901"/>
        </a:xfrm>
        <a:prstGeom prst="rect">
          <a:avLst/>
        </a:prstGeom>
        <a:solidFill>
          <a:srgbClr val="E4F1F9"/>
        </a:solidFill>
        <a:ln w="28575">
          <a:solidFill>
            <a:srgbClr val="80808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Since the 1st year we conduct 3 tune-ups, one piece of equipment will get 2 visits of 45 minutes each = 90 minutes.  The other will get 45 minutes.  We are also there on the 1st call for demand service, so the diagnostic covers 1 of the three travel times, leaving only 2 additional travel times on the 1st year 3 visit model.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Notice in the cell c41,we blend a technician labor hour, with 2 PTU specialists labor hours 1st yr. costs!</a:t>
          </a:r>
        </a:p>
      </xdr:txBody>
    </xdr:sp>
    <xdr:clientData/>
  </xdr:twoCellAnchor>
  <xdr:twoCellAnchor>
    <xdr:from>
      <xdr:col>4</xdr:col>
      <xdr:colOff>409575</xdr:colOff>
      <xdr:row>38</xdr:row>
      <xdr:rowOff>19050</xdr:rowOff>
    </xdr:from>
    <xdr:to>
      <xdr:col>8</xdr:col>
      <xdr:colOff>390525</xdr:colOff>
      <xdr:row>41</xdr:row>
      <xdr:rowOff>76200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6238875" y="6315075"/>
          <a:ext cx="2524125" cy="561975"/>
        </a:xfrm>
        <a:prstGeom prst="rightArrow">
          <a:avLst>
            <a:gd name="adj1" fmla="val 50000"/>
            <a:gd name="adj2" fmla="val 168750"/>
          </a:avLst>
        </a:prstGeom>
        <a:solidFill>
          <a:srgbClr val="E4F1F9"/>
        </a:solidFill>
        <a:ln w="38100">
          <a:solidFill>
            <a:srgbClr val="0065C1"/>
          </a:solidFill>
          <a:prstDash val="dash"/>
          <a:miter lim="800000"/>
          <a:headEnd/>
          <a:tailEnd/>
        </a:ln>
        <a:effectLst>
          <a:outerShdw blurRad="76200" dir="13500000" sy="23000" kx="1200000" algn="br" rotWithShape="0">
            <a:prstClr val="black">
              <a:alpha val="58000"/>
            </a:prst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B46" sqref="B46"/>
    </sheetView>
  </sheetViews>
  <sheetFormatPr defaultRowHeight="12.75" x14ac:dyDescent="0.2"/>
  <cols>
    <col min="1" max="1" width="2.42578125" customWidth="1"/>
    <col min="2" max="2" width="23.5703125" customWidth="1"/>
    <col min="3" max="3" width="18.85546875" customWidth="1"/>
    <col min="4" max="8" width="14.7109375" customWidth="1"/>
    <col min="9" max="9" width="2.7109375" customWidth="1"/>
    <col min="11" max="11" width="24.28515625" bestFit="1" customWidth="1"/>
  </cols>
  <sheetData>
    <row r="1" spans="1:11" s="17" customFormat="1" ht="0.95" customHeight="1" x14ac:dyDescent="0.2">
      <c r="A1" s="18"/>
      <c r="C1" s="18"/>
      <c r="D1" s="18"/>
      <c r="E1" s="18"/>
      <c r="F1" s="18"/>
      <c r="G1" s="18"/>
      <c r="H1" s="18"/>
    </row>
    <row r="2" spans="1:11" ht="29.25" customHeight="1" thickBot="1" x14ac:dyDescent="0.25">
      <c r="A2" s="233"/>
      <c r="B2" s="240" t="s">
        <v>71</v>
      </c>
      <c r="C2" s="8"/>
      <c r="D2" s="24"/>
      <c r="E2" s="24"/>
      <c r="F2" s="24"/>
      <c r="G2" s="24"/>
      <c r="H2" s="24"/>
      <c r="I2" s="17"/>
    </row>
    <row r="3" spans="1:11" ht="13.5" thickBot="1" x14ac:dyDescent="0.25">
      <c r="A3" s="259"/>
      <c r="B3" s="241">
        <v>179</v>
      </c>
      <c r="C3" s="254" t="s">
        <v>70</v>
      </c>
      <c r="D3" s="20">
        <v>0</v>
      </c>
      <c r="E3" s="19">
        <v>0.95</v>
      </c>
      <c r="F3" s="20">
        <v>0.93</v>
      </c>
      <c r="G3" s="20">
        <v>0.91</v>
      </c>
      <c r="H3" s="20">
        <v>0.85</v>
      </c>
      <c r="I3" s="17"/>
    </row>
    <row r="4" spans="1:11" ht="9.9499999999999993" customHeight="1" x14ac:dyDescent="0.2">
      <c r="A4" s="210"/>
      <c r="B4" s="8"/>
      <c r="C4" s="8"/>
      <c r="D4" s="8"/>
      <c r="E4" s="8"/>
      <c r="F4" s="8"/>
      <c r="G4" s="8"/>
      <c r="H4" s="23"/>
      <c r="I4" s="17"/>
    </row>
    <row r="5" spans="1:11" x14ac:dyDescent="0.2">
      <c r="A5" s="210"/>
      <c r="B5" s="234" t="s">
        <v>69</v>
      </c>
      <c r="C5" s="235"/>
      <c r="D5" s="236" t="s">
        <v>130</v>
      </c>
      <c r="E5" s="237"/>
      <c r="F5" s="237"/>
      <c r="G5" s="238"/>
      <c r="H5" s="239"/>
      <c r="I5" s="17"/>
      <c r="K5" s="4"/>
    </row>
    <row r="6" spans="1:11" ht="12.95" customHeight="1" thickBot="1" x14ac:dyDescent="0.3">
      <c r="A6" s="210"/>
      <c r="B6" s="24"/>
      <c r="C6" s="255"/>
      <c r="D6" s="256">
        <v>1</v>
      </c>
      <c r="E6" s="257">
        <v>2</v>
      </c>
      <c r="F6" s="257">
        <v>3</v>
      </c>
      <c r="G6" s="257">
        <v>4</v>
      </c>
      <c r="H6" s="16">
        <v>5</v>
      </c>
      <c r="I6" s="17"/>
      <c r="K6" s="5"/>
    </row>
    <row r="7" spans="1:11" ht="13.5" thickBot="1" x14ac:dyDescent="0.25">
      <c r="A7" s="210"/>
      <c r="B7" s="20">
        <v>0</v>
      </c>
      <c r="C7" s="258" t="s">
        <v>73</v>
      </c>
      <c r="D7" s="10">
        <f>+B3</f>
        <v>179</v>
      </c>
      <c r="E7" s="10">
        <f>+(($D$7*E3)*E6)</f>
        <v>340.09999999999997</v>
      </c>
      <c r="F7" s="10">
        <f>+(($D$7*F3)*$F$6)</f>
        <v>499.40999999999997</v>
      </c>
      <c r="G7" s="10">
        <f>+(($D$7*G3)*$G$6)</f>
        <v>651.56000000000006</v>
      </c>
      <c r="H7" s="10">
        <f>+(($D$7*H3)*$H$6)</f>
        <v>760.75</v>
      </c>
      <c r="I7" s="17"/>
    </row>
    <row r="8" spans="1:11" ht="13.5" thickBot="1" x14ac:dyDescent="0.25">
      <c r="A8" s="210"/>
      <c r="B8" s="20">
        <v>0.98</v>
      </c>
      <c r="C8" s="222" t="s">
        <v>72</v>
      </c>
      <c r="D8" s="11">
        <f>+(($D$7*B8)*3)</f>
        <v>526.26</v>
      </c>
      <c r="E8" s="11">
        <f>+(($D$7*3)*($E$3*B8)*$E$6)</f>
        <v>999.89399999999989</v>
      </c>
      <c r="F8" s="11">
        <f>+(($D$7*3)*($F$3*B8)*$F$6)</f>
        <v>1468.2654</v>
      </c>
      <c r="G8" s="11">
        <f>+(($D$7*3)*($G$3*$B8)*$G$6)</f>
        <v>1915.5864000000001</v>
      </c>
      <c r="H8" s="11">
        <f>+(($D$7*3)*($H$3*$B8)*$H$6)</f>
        <v>2236.605</v>
      </c>
      <c r="I8" s="17"/>
    </row>
    <row r="9" spans="1:11" ht="13.5" thickBot="1" x14ac:dyDescent="0.25">
      <c r="A9" s="210"/>
      <c r="B9" s="20">
        <v>0.94499999999999995</v>
      </c>
      <c r="C9" s="258" t="s">
        <v>74</v>
      </c>
      <c r="D9" s="10">
        <f>+(($D$7*B9)*5)</f>
        <v>845.77499999999998</v>
      </c>
      <c r="E9" s="10">
        <f>+(($D$7*5)*($E$3*B9)*$E$6)</f>
        <v>1606.9724999999999</v>
      </c>
      <c r="F9" s="10">
        <f>+(($D$7*5)*($F$3*B9)*$F$6)</f>
        <v>2359.71225</v>
      </c>
      <c r="G9" s="10">
        <f>+(($D$7*5)*($G$3*$B9)*$G$6)</f>
        <v>3078.6210000000001</v>
      </c>
      <c r="H9" s="10">
        <f>+(($D$7*5)*($H$3*$B9)*$H$6)</f>
        <v>3594.5437499999998</v>
      </c>
      <c r="I9" s="17"/>
    </row>
    <row r="10" spans="1:11" ht="13.5" thickBot="1" x14ac:dyDescent="0.25">
      <c r="A10" s="210"/>
      <c r="B10" s="20">
        <v>0.91</v>
      </c>
      <c r="C10" s="222" t="s">
        <v>75</v>
      </c>
      <c r="D10" s="11">
        <f>+(($D$7*B10)*7)</f>
        <v>1140.23</v>
      </c>
      <c r="E10" s="11">
        <f>+(($D$7*7)*($E$3*B10)*$E$6)</f>
        <v>2166.4369999999999</v>
      </c>
      <c r="F10" s="11">
        <f>+(($D$7*7)*($F$3*B10)*$F$6)</f>
        <v>3181.2417</v>
      </c>
      <c r="G10" s="11">
        <f>+(($D$7*7)*($G$3*$B10)*$G$6)</f>
        <v>4150.4372000000003</v>
      </c>
      <c r="H10" s="11">
        <f>+(($D$7*7)*($H$3*$B10)*$H$6)</f>
        <v>4845.9775</v>
      </c>
      <c r="I10" s="17"/>
    </row>
    <row r="11" spans="1:11" ht="13.5" thickBot="1" x14ac:dyDescent="0.25">
      <c r="A11" s="210"/>
      <c r="B11" s="20">
        <v>0.8</v>
      </c>
      <c r="C11" s="258" t="s">
        <v>76</v>
      </c>
      <c r="D11" s="10">
        <f>+(($D$7*B11)*10)</f>
        <v>1432.0000000000002</v>
      </c>
      <c r="E11" s="10">
        <f>+(($D$7*10)*($E$3*B11)*$E$6)</f>
        <v>2720.8</v>
      </c>
      <c r="F11" s="10">
        <f>+(($D$7*10)*($F$3*B11)*$F$6)</f>
        <v>3995.2800000000007</v>
      </c>
      <c r="G11" s="10">
        <f>+(($D$7*10)*($G$3*$B11)*$G$6)</f>
        <v>5212.4800000000005</v>
      </c>
      <c r="H11" s="10">
        <f>+(($D$7*10)*($H$3*$B11)*$H$6)</f>
        <v>6086</v>
      </c>
      <c r="I11" s="17"/>
    </row>
    <row r="12" spans="1:11" ht="7.5" customHeight="1" x14ac:dyDescent="0.2">
      <c r="A12" s="210"/>
      <c r="B12" s="8"/>
      <c r="C12" s="8"/>
      <c r="D12" s="8"/>
      <c r="E12" s="8"/>
      <c r="F12" s="8"/>
      <c r="G12" s="8"/>
      <c r="H12" s="8"/>
      <c r="I12" s="17"/>
    </row>
    <row r="13" spans="1:11" ht="5.0999999999999996" customHeight="1" x14ac:dyDescent="0.2">
      <c r="A13" s="210"/>
      <c r="B13" s="8"/>
      <c r="C13" s="8"/>
      <c r="D13" s="8"/>
      <c r="E13" s="8"/>
      <c r="F13" s="8"/>
      <c r="G13" s="8"/>
      <c r="H13" s="8"/>
      <c r="I13" s="17"/>
    </row>
    <row r="14" spans="1:11" ht="5.0999999999999996" customHeight="1" x14ac:dyDescent="0.2">
      <c r="A14" s="210"/>
      <c r="B14" s="8"/>
      <c r="C14" s="8"/>
      <c r="D14" s="8"/>
      <c r="E14" s="8"/>
      <c r="F14" s="8"/>
      <c r="G14" s="8"/>
      <c r="H14" s="8"/>
      <c r="I14" s="17"/>
    </row>
    <row r="15" spans="1:11" ht="5.0999999999999996" customHeight="1" x14ac:dyDescent="0.2">
      <c r="A15" s="210"/>
      <c r="B15" s="8"/>
      <c r="C15" s="251"/>
      <c r="D15" s="251"/>
      <c r="E15" s="251"/>
      <c r="F15" s="251"/>
      <c r="G15" s="251"/>
      <c r="H15" s="251"/>
      <c r="I15" s="17"/>
    </row>
    <row r="16" spans="1:11" ht="5.0999999999999996" customHeight="1" x14ac:dyDescent="0.2">
      <c r="A16" s="210"/>
      <c r="B16" s="8"/>
      <c r="C16" s="251"/>
      <c r="D16" s="251"/>
      <c r="E16" s="251"/>
      <c r="F16" s="251"/>
      <c r="G16" s="251"/>
      <c r="H16" s="252"/>
      <c r="I16" s="17"/>
    </row>
    <row r="17" spans="1:9" ht="5.0999999999999996" customHeight="1" x14ac:dyDescent="0.2">
      <c r="A17" s="210"/>
      <c r="B17" s="8"/>
      <c r="C17" s="251"/>
      <c r="D17" s="251"/>
      <c r="E17" s="251"/>
      <c r="F17" s="251"/>
      <c r="G17" s="251"/>
      <c r="H17" s="252"/>
      <c r="I17" s="17"/>
    </row>
    <row r="18" spans="1:9" s="17" customFormat="1" ht="15" customHeight="1" x14ac:dyDescent="0.2">
      <c r="A18" s="210"/>
      <c r="B18" s="8"/>
      <c r="C18" s="8"/>
      <c r="D18" s="8"/>
      <c r="E18" s="8"/>
      <c r="F18" s="8"/>
      <c r="G18" s="8"/>
      <c r="H18" s="8"/>
    </row>
    <row r="19" spans="1:9" s="17" customFormat="1" ht="12.75" customHeight="1" thickBot="1" x14ac:dyDescent="0.25">
      <c r="A19" s="210"/>
      <c r="B19" s="262" t="s">
        <v>77</v>
      </c>
      <c r="C19" s="246" t="s">
        <v>129</v>
      </c>
      <c r="D19" s="247"/>
      <c r="E19" s="247"/>
      <c r="F19" s="247"/>
      <c r="G19" s="247"/>
      <c r="H19" s="248"/>
    </row>
    <row r="20" spans="1:9" ht="13.5" thickBot="1" x14ac:dyDescent="0.25">
      <c r="A20" s="210"/>
      <c r="B20" s="21">
        <v>0.15</v>
      </c>
      <c r="C20" s="244"/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17"/>
    </row>
    <row r="21" spans="1:9" x14ac:dyDescent="0.2">
      <c r="A21" s="242"/>
      <c r="B21" s="8"/>
      <c r="C21" s="128" t="s">
        <v>73</v>
      </c>
      <c r="D21" s="10">
        <f>+(D7/1)</f>
        <v>179</v>
      </c>
      <c r="E21" s="10">
        <f>+(E7/1)/2</f>
        <v>170.04999999999998</v>
      </c>
      <c r="F21" s="10">
        <f>+(F7/1)/3</f>
        <v>166.47</v>
      </c>
      <c r="G21" s="10">
        <f>+(G7/1)/4</f>
        <v>162.89000000000001</v>
      </c>
      <c r="H21" s="10">
        <f>+(H7/1)/5</f>
        <v>152.15</v>
      </c>
      <c r="I21" s="17"/>
    </row>
    <row r="22" spans="1:9" ht="12.75" customHeight="1" x14ac:dyDescent="0.2">
      <c r="A22" s="243"/>
      <c r="B22" s="253" t="s">
        <v>131</v>
      </c>
      <c r="C22" s="245" t="s">
        <v>72</v>
      </c>
      <c r="D22" s="11">
        <f>+(D8/3)</f>
        <v>175.42</v>
      </c>
      <c r="E22" s="11">
        <f>+(E8/3)/2</f>
        <v>166.64899999999997</v>
      </c>
      <c r="F22" s="11">
        <f>+(F8/3)/3</f>
        <v>163.14060000000001</v>
      </c>
      <c r="G22" s="11">
        <f>+(G8/3)/4</f>
        <v>159.63220000000001</v>
      </c>
      <c r="H22" s="11">
        <f>+(H8/3)/5</f>
        <v>149.107</v>
      </c>
      <c r="I22" s="17"/>
    </row>
    <row r="23" spans="1:9" x14ac:dyDescent="0.2">
      <c r="A23" s="242"/>
      <c r="B23" s="253"/>
      <c r="C23" s="128" t="s">
        <v>74</v>
      </c>
      <c r="D23" s="10">
        <f>+(D9/5)</f>
        <v>169.155</v>
      </c>
      <c r="E23" s="10">
        <f>+(E9/5)/2</f>
        <v>160.69725</v>
      </c>
      <c r="F23" s="10">
        <f>+(F9/5)/3</f>
        <v>157.31415000000001</v>
      </c>
      <c r="G23" s="10">
        <f>+(G9/5)/4</f>
        <v>153.93105</v>
      </c>
      <c r="H23" s="10">
        <f>+(H9/5)/5</f>
        <v>143.78174999999999</v>
      </c>
      <c r="I23" s="17"/>
    </row>
    <row r="24" spans="1:9" x14ac:dyDescent="0.2">
      <c r="A24" s="210"/>
      <c r="B24" s="253"/>
      <c r="C24" s="245" t="s">
        <v>75</v>
      </c>
      <c r="D24" s="11">
        <f>+(D10/7)</f>
        <v>162.89000000000001</v>
      </c>
      <c r="E24" s="11">
        <f>+(E10/7)/2</f>
        <v>154.74549999999999</v>
      </c>
      <c r="F24" s="11">
        <f>+(F10/7)/3</f>
        <v>151.48769999999999</v>
      </c>
      <c r="G24" s="11">
        <f>+(G10/7)/4</f>
        <v>148.22990000000001</v>
      </c>
      <c r="H24" s="11">
        <f>+(H10/7)/5</f>
        <v>138.45650000000001</v>
      </c>
      <c r="I24" s="17"/>
    </row>
    <row r="25" spans="1:9" x14ac:dyDescent="0.2">
      <c r="A25" s="210"/>
      <c r="B25" s="253"/>
      <c r="C25" s="128" t="s">
        <v>76</v>
      </c>
      <c r="D25" s="10">
        <f>+(D11/10)</f>
        <v>143.20000000000002</v>
      </c>
      <c r="E25" s="10">
        <f>+(E11/10)/2</f>
        <v>136.04000000000002</v>
      </c>
      <c r="F25" s="10">
        <f>+(F11/10)/3</f>
        <v>133.17600000000002</v>
      </c>
      <c r="G25" s="10">
        <f>+(G11/10)/4</f>
        <v>130.31200000000001</v>
      </c>
      <c r="H25" s="10">
        <f>+(H11/10)/5</f>
        <v>121.72</v>
      </c>
      <c r="I25" s="17"/>
    </row>
    <row r="26" spans="1:9" s="17" customFormat="1" ht="2.1" customHeight="1" x14ac:dyDescent="0.2">
      <c r="A26" s="210"/>
      <c r="B26" s="253"/>
      <c r="C26" s="8"/>
      <c r="D26" s="8"/>
      <c r="E26" s="8"/>
      <c r="F26" s="8"/>
      <c r="G26" s="8"/>
      <c r="H26" s="214"/>
    </row>
    <row r="27" spans="1:9" ht="8.1" customHeight="1" x14ac:dyDescent="0.2">
      <c r="A27" s="210"/>
      <c r="B27" s="253"/>
      <c r="C27" s="8"/>
      <c r="D27" s="8"/>
      <c r="E27" s="8"/>
      <c r="F27" s="8"/>
      <c r="G27" s="8"/>
      <c r="H27" s="214"/>
      <c r="I27" s="17"/>
    </row>
    <row r="28" spans="1:9" ht="5.0999999999999996" customHeight="1" x14ac:dyDescent="0.2">
      <c r="A28" s="210"/>
      <c r="B28" s="253"/>
      <c r="C28" s="8"/>
      <c r="D28" s="8"/>
      <c r="E28" s="8"/>
      <c r="F28" s="8"/>
      <c r="G28" s="8"/>
      <c r="H28" s="214"/>
      <c r="I28" s="17"/>
    </row>
    <row r="29" spans="1:9" ht="13.5" customHeight="1" x14ac:dyDescent="0.2">
      <c r="A29" s="210"/>
      <c r="B29" s="253"/>
      <c r="C29" s="250" t="s">
        <v>78</v>
      </c>
      <c r="D29" s="250"/>
      <c r="E29" s="250"/>
      <c r="F29" s="250"/>
      <c r="G29" s="250"/>
      <c r="H29" s="250"/>
      <c r="I29" s="17"/>
    </row>
    <row r="30" spans="1:9" x14ac:dyDescent="0.2">
      <c r="A30" s="2"/>
      <c r="B30" s="253"/>
      <c r="C30" s="244"/>
      <c r="D30" s="9">
        <v>1</v>
      </c>
      <c r="E30" s="9">
        <v>2</v>
      </c>
      <c r="F30" s="9">
        <v>3</v>
      </c>
      <c r="G30" s="9">
        <v>4</v>
      </c>
      <c r="H30" s="9">
        <v>5</v>
      </c>
      <c r="I30" s="17"/>
    </row>
    <row r="31" spans="1:9" x14ac:dyDescent="0.2">
      <c r="A31" s="2"/>
      <c r="B31" s="253"/>
      <c r="C31" s="128" t="s">
        <v>73</v>
      </c>
      <c r="D31" s="10">
        <f>+(D7*$B$20)</f>
        <v>26.849999999999998</v>
      </c>
      <c r="E31" s="10">
        <f>+(E7*$B$20)</f>
        <v>51.014999999999993</v>
      </c>
      <c r="F31" s="10">
        <f>+(F7*$B$20)</f>
        <v>74.91149999999999</v>
      </c>
      <c r="G31" s="10">
        <f>+(G7*$B$20)</f>
        <v>97.734000000000009</v>
      </c>
      <c r="H31" s="10">
        <f>+(H7*$B$20)</f>
        <v>114.1125</v>
      </c>
      <c r="I31" s="17"/>
    </row>
    <row r="32" spans="1:9" x14ac:dyDescent="0.2">
      <c r="A32" s="210"/>
      <c r="B32" s="253"/>
      <c r="C32" s="245" t="s">
        <v>72</v>
      </c>
      <c r="D32" s="11">
        <f>+(D8*$B$20)</f>
        <v>78.938999999999993</v>
      </c>
      <c r="E32" s="11">
        <f>+(E8*$B$20)</f>
        <v>149.98409999999998</v>
      </c>
      <c r="F32" s="11">
        <f>+(F8*$B$20)</f>
        <v>220.23981000000001</v>
      </c>
      <c r="G32" s="11">
        <f>+(G8*$B$20)</f>
        <v>287.33796000000001</v>
      </c>
      <c r="H32" s="11">
        <f>+(H8*$B$20)</f>
        <v>335.49074999999999</v>
      </c>
      <c r="I32" s="17"/>
    </row>
    <row r="33" spans="1:9" x14ac:dyDescent="0.2">
      <c r="A33" s="210"/>
      <c r="B33" s="253"/>
      <c r="C33" s="128" t="s">
        <v>74</v>
      </c>
      <c r="D33" s="10">
        <f>+(D9*$B$20)</f>
        <v>126.86624999999999</v>
      </c>
      <c r="E33" s="10">
        <f>+(E9*$B$20)</f>
        <v>241.04587499999997</v>
      </c>
      <c r="F33" s="10">
        <f>+(F9*$B$20)</f>
        <v>353.95683750000001</v>
      </c>
      <c r="G33" s="10">
        <f>+(G9*$B$20)</f>
        <v>461.79314999999997</v>
      </c>
      <c r="H33" s="10">
        <f>+(H9*$B$20)</f>
        <v>539.18156249999993</v>
      </c>
      <c r="I33" s="17"/>
    </row>
    <row r="34" spans="1:9" x14ac:dyDescent="0.2">
      <c r="A34" s="210"/>
      <c r="B34" s="253"/>
      <c r="C34" s="245" t="s">
        <v>75</v>
      </c>
      <c r="D34" s="11">
        <f>+(D10*$B$20)</f>
        <v>171.03450000000001</v>
      </c>
      <c r="E34" s="11">
        <f>+(E10*$B$20)</f>
        <v>324.96554999999995</v>
      </c>
      <c r="F34" s="11">
        <f>+(F10*$B$20)</f>
        <v>477.18625499999996</v>
      </c>
      <c r="G34" s="11">
        <f>+(G10*$B$20)</f>
        <v>622.56558000000007</v>
      </c>
      <c r="H34" s="11">
        <f>+(H10*$B$20)</f>
        <v>726.89662499999997</v>
      </c>
      <c r="I34" s="17"/>
    </row>
    <row r="35" spans="1:9" x14ac:dyDescent="0.2">
      <c r="A35" s="210"/>
      <c r="B35" s="253"/>
      <c r="C35" s="128" t="s">
        <v>76</v>
      </c>
      <c r="D35" s="10">
        <f>+(D11*$B$20)</f>
        <v>214.80000000000004</v>
      </c>
      <c r="E35" s="10">
        <f>+(E11*$B$20)</f>
        <v>408.12</v>
      </c>
      <c r="F35" s="10">
        <f>+(F11*$B$20)</f>
        <v>599.29200000000003</v>
      </c>
      <c r="G35" s="10">
        <f>+(G11*$B$20)</f>
        <v>781.87200000000007</v>
      </c>
      <c r="H35" s="10">
        <f>+(H11*$B$20)</f>
        <v>912.9</v>
      </c>
      <c r="I35" s="17"/>
    </row>
    <row r="36" spans="1:9" ht="5.0999999999999996" customHeight="1" x14ac:dyDescent="0.2">
      <c r="A36" s="210"/>
      <c r="B36" s="253"/>
      <c r="C36" s="8"/>
      <c r="D36" s="8"/>
      <c r="E36" s="8"/>
      <c r="F36" s="8"/>
      <c r="G36" s="8"/>
      <c r="H36" s="214"/>
      <c r="I36" s="17"/>
    </row>
    <row r="37" spans="1:9" ht="9.9499999999999993" customHeight="1" x14ac:dyDescent="0.2">
      <c r="A37" s="210"/>
      <c r="B37" s="253"/>
      <c r="C37" s="12"/>
      <c r="D37" s="12"/>
      <c r="E37" s="12"/>
      <c r="F37" s="8"/>
      <c r="G37" s="8"/>
      <c r="H37" s="215"/>
      <c r="I37" s="17"/>
    </row>
    <row r="38" spans="1:9" x14ac:dyDescent="0.2">
      <c r="A38" s="210"/>
      <c r="B38" s="253"/>
      <c r="C38" s="249" t="s">
        <v>124</v>
      </c>
      <c r="D38" s="249"/>
      <c r="E38" s="249"/>
      <c r="F38" s="249"/>
      <c r="G38" s="249"/>
      <c r="H38" s="249"/>
      <c r="I38" s="17"/>
    </row>
    <row r="39" spans="1:9" x14ac:dyDescent="0.2">
      <c r="A39" s="260"/>
      <c r="B39" s="253"/>
      <c r="C39" s="244"/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17"/>
    </row>
    <row r="40" spans="1:9" x14ac:dyDescent="0.2">
      <c r="A40" s="261"/>
      <c r="B40" s="253"/>
      <c r="C40" s="128" t="s">
        <v>73</v>
      </c>
      <c r="D40" s="10">
        <f>+(($D7-D31))</f>
        <v>152.15</v>
      </c>
      <c r="E40" s="10">
        <f>+(($E7-E31))/2</f>
        <v>144.54249999999999</v>
      </c>
      <c r="F40" s="10">
        <f>+(($F7-F31))/3</f>
        <v>141.49949999999998</v>
      </c>
      <c r="G40" s="10">
        <f>+(($G7-G31))/4</f>
        <v>138.45650000000001</v>
      </c>
      <c r="H40" s="10">
        <f>+(($H7-H31))/5</f>
        <v>129.32750000000001</v>
      </c>
      <c r="I40" s="17"/>
    </row>
    <row r="41" spans="1:9" x14ac:dyDescent="0.2">
      <c r="A41" s="210"/>
      <c r="B41" s="253"/>
      <c r="C41" s="245" t="s">
        <v>72</v>
      </c>
      <c r="D41" s="11">
        <f>+(($D8-D32))/3</f>
        <v>149.107</v>
      </c>
      <c r="E41" s="11">
        <f>+(($E8-E32)/3)/2</f>
        <v>141.65164999999999</v>
      </c>
      <c r="F41" s="11">
        <f>+(($F8-F32)/3)/3</f>
        <v>138.66951</v>
      </c>
      <c r="G41" s="11">
        <f>+(($G8-G32)/3)/4</f>
        <v>135.68737000000002</v>
      </c>
      <c r="H41" s="11">
        <f>+(($H8-H32)/3)/5</f>
        <v>126.74095</v>
      </c>
      <c r="I41" s="17"/>
    </row>
    <row r="42" spans="1:9" x14ac:dyDescent="0.2">
      <c r="A42" s="210"/>
      <c r="B42" s="253"/>
      <c r="C42" s="128" t="s">
        <v>74</v>
      </c>
      <c r="D42" s="10">
        <f>+(($D9-D33))/5</f>
        <v>143.78174999999999</v>
      </c>
      <c r="E42" s="10">
        <f>+(($E9-E33)/5)/2</f>
        <v>136.59266249999999</v>
      </c>
      <c r="F42" s="10">
        <f>+(($F9-F33)/5)/3</f>
        <v>133.7170275</v>
      </c>
      <c r="G42" s="10">
        <f>+(($G9-G33)/5)/4</f>
        <v>130.84139250000001</v>
      </c>
      <c r="H42" s="10">
        <f>+(($H9-H33)/5)/5</f>
        <v>122.21448749999999</v>
      </c>
      <c r="I42" s="17"/>
    </row>
    <row r="43" spans="1:9" x14ac:dyDescent="0.2">
      <c r="A43" s="210"/>
      <c r="B43" s="253"/>
      <c r="C43" s="245" t="s">
        <v>75</v>
      </c>
      <c r="D43" s="11">
        <f>+(($D10-D34))/7</f>
        <v>138.45650000000001</v>
      </c>
      <c r="E43" s="11">
        <f>+(($E10-E34)/7)/2</f>
        <v>131.53367499999999</v>
      </c>
      <c r="F43" s="11">
        <f>+(($F10-F34)/7)/3</f>
        <v>128.764545</v>
      </c>
      <c r="G43" s="11">
        <f>+(($G10-G34)/7)/4</f>
        <v>125.99541500000001</v>
      </c>
      <c r="H43" s="11">
        <f>+(($H10-H34)/7)/5</f>
        <v>117.688025</v>
      </c>
      <c r="I43" s="17"/>
    </row>
    <row r="44" spans="1:9" x14ac:dyDescent="0.2">
      <c r="A44" s="210"/>
      <c r="B44" s="253"/>
      <c r="C44" s="128" t="s">
        <v>76</v>
      </c>
      <c r="D44" s="10">
        <f>+(($D11-D35))/10</f>
        <v>121.72000000000003</v>
      </c>
      <c r="E44" s="10">
        <f>+(($E11-E35)/10)/2</f>
        <v>115.63400000000001</v>
      </c>
      <c r="F44" s="10">
        <f>+(($F11-F35)/10)/3</f>
        <v>113.19960000000003</v>
      </c>
      <c r="G44" s="10">
        <f>+(($G11-G35)/10)/4</f>
        <v>110.76520000000001</v>
      </c>
      <c r="H44" s="10">
        <f>+(($H11-H35)/10)/5</f>
        <v>103.46200000000002</v>
      </c>
      <c r="I44" s="17"/>
    </row>
    <row r="45" spans="1:9" x14ac:dyDescent="0.2">
      <c r="A45" s="210"/>
      <c r="B45" s="18"/>
      <c r="C45" s="18"/>
      <c r="D45" s="18"/>
      <c r="E45" s="18"/>
      <c r="F45" s="18"/>
      <c r="G45" s="18"/>
      <c r="H45" s="18"/>
      <c r="I45" s="17"/>
    </row>
    <row r="46" spans="1:9" x14ac:dyDescent="0.2">
      <c r="A46" s="42"/>
      <c r="B46" s="7"/>
      <c r="C46" s="7"/>
      <c r="D46" s="7"/>
      <c r="E46" s="7"/>
      <c r="F46" s="7"/>
      <c r="G46" s="7"/>
      <c r="H46" s="7"/>
    </row>
    <row r="47" spans="1:9" x14ac:dyDescent="0.2">
      <c r="A47" s="2"/>
    </row>
  </sheetData>
  <mergeCells count="4">
    <mergeCell ref="B22:B44"/>
    <mergeCell ref="C29:H29"/>
    <mergeCell ref="C38:H38"/>
    <mergeCell ref="C19:H19"/>
  </mergeCells>
  <pageMargins left="0.5" right="1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8"/>
  <sheetViews>
    <sheetView topLeftCell="A61" zoomScaleNormal="100" workbookViewId="0">
      <selection activeCell="O20" sqref="O20"/>
    </sheetView>
  </sheetViews>
  <sheetFormatPr defaultRowHeight="12.75" x14ac:dyDescent="0.2"/>
  <cols>
    <col min="2" max="2" width="52" customWidth="1"/>
    <col min="3" max="4" width="13.140625" customWidth="1"/>
    <col min="6" max="6" width="10.7109375" bestFit="1" customWidth="1"/>
    <col min="10" max="10" width="58.140625" customWidth="1"/>
    <col min="11" max="11" width="10.28515625" bestFit="1" customWidth="1"/>
    <col min="12" max="12" width="11" bestFit="1" customWidth="1"/>
  </cols>
  <sheetData>
    <row r="1" spans="2:13" ht="13.5" thickBot="1" x14ac:dyDescent="0.25">
      <c r="K1" s="2"/>
      <c r="L1" s="2"/>
      <c r="M1" s="2"/>
    </row>
    <row r="2" spans="2:13" s="213" customFormat="1" ht="21.95" customHeight="1" thickBot="1" x14ac:dyDescent="0.25">
      <c r="B2" s="229" t="s">
        <v>0</v>
      </c>
      <c r="C2" s="230"/>
      <c r="D2" s="230"/>
      <c r="E2" s="230"/>
      <c r="F2" s="230"/>
      <c r="G2" s="230"/>
      <c r="H2" s="230"/>
      <c r="I2" s="230"/>
      <c r="J2" s="231"/>
      <c r="K2" s="232"/>
      <c r="L2" s="232"/>
      <c r="M2" s="232"/>
    </row>
    <row r="3" spans="2:13" ht="12.75" customHeight="1" x14ac:dyDescent="0.2">
      <c r="B3" s="228"/>
      <c r="C3" s="64"/>
      <c r="D3" s="64"/>
      <c r="E3" s="64"/>
      <c r="F3" s="64"/>
      <c r="G3" s="64"/>
      <c r="H3" s="64"/>
      <c r="I3" s="64"/>
      <c r="J3" s="228"/>
      <c r="K3" s="64"/>
      <c r="L3" s="64"/>
      <c r="M3" s="64"/>
    </row>
    <row r="4" spans="2:13" ht="12.75" customHeight="1" x14ac:dyDescent="0.25">
      <c r="B4" s="39" t="s">
        <v>1</v>
      </c>
      <c r="C4" s="40"/>
      <c r="D4" s="40"/>
      <c r="E4" s="40"/>
      <c r="F4" s="40"/>
      <c r="G4" s="40"/>
      <c r="H4" s="40"/>
      <c r="I4" s="40"/>
      <c r="J4" s="41"/>
      <c r="K4" s="211"/>
      <c r="L4" s="211"/>
      <c r="M4" s="211"/>
    </row>
    <row r="5" spans="2:13" x14ac:dyDescent="0.2">
      <c r="B5" s="27"/>
      <c r="C5" s="2"/>
      <c r="D5" s="2"/>
      <c r="E5" s="2"/>
      <c r="F5" s="2"/>
      <c r="G5" s="2"/>
      <c r="H5" s="2"/>
      <c r="I5" s="2"/>
      <c r="J5" s="66"/>
      <c r="K5" s="64"/>
      <c r="L5" s="2"/>
      <c r="M5" s="2"/>
    </row>
    <row r="6" spans="2:13" x14ac:dyDescent="0.2">
      <c r="B6" s="218" t="s">
        <v>2</v>
      </c>
      <c r="C6" s="29" t="s">
        <v>3</v>
      </c>
      <c r="D6" s="29"/>
      <c r="E6" s="29"/>
      <c r="F6" s="29"/>
      <c r="G6" s="29"/>
      <c r="H6" s="29"/>
      <c r="I6" s="29"/>
      <c r="J6" s="30"/>
      <c r="K6" s="64"/>
      <c r="L6" s="2"/>
      <c r="M6" s="2"/>
    </row>
    <row r="7" spans="2:13" ht="12.75" customHeight="1" x14ac:dyDescent="0.2">
      <c r="B7" s="221"/>
      <c r="C7" s="26" t="s">
        <v>4</v>
      </c>
      <c r="D7" s="26"/>
      <c r="E7" s="26"/>
      <c r="F7" s="26"/>
      <c r="G7" s="26"/>
      <c r="H7" s="26"/>
      <c r="I7" s="26"/>
      <c r="J7" s="32"/>
      <c r="K7" s="64"/>
      <c r="L7" s="2"/>
      <c r="M7" s="2"/>
    </row>
    <row r="8" spans="2:13" x14ac:dyDescent="0.2">
      <c r="B8" s="219"/>
      <c r="C8" s="34" t="s">
        <v>5</v>
      </c>
      <c r="D8" s="34"/>
      <c r="E8" s="34"/>
      <c r="F8" s="34"/>
      <c r="G8" s="34"/>
      <c r="H8" s="34"/>
      <c r="I8" s="34"/>
      <c r="J8" s="35"/>
      <c r="K8" s="64"/>
      <c r="L8" s="2"/>
      <c r="M8" s="2"/>
    </row>
    <row r="9" spans="2:13" x14ac:dyDescent="0.2">
      <c r="B9" s="27"/>
      <c r="C9" s="2"/>
      <c r="D9" s="2"/>
      <c r="E9" s="2"/>
      <c r="F9" s="2"/>
      <c r="G9" s="2"/>
      <c r="H9" s="2"/>
      <c r="I9" s="2"/>
      <c r="J9" s="66"/>
      <c r="K9" s="64"/>
      <c r="L9" s="2"/>
      <c r="M9" s="2"/>
    </row>
    <row r="10" spans="2:13" ht="20.100000000000001" customHeight="1" x14ac:dyDescent="0.2">
      <c r="B10" s="220" t="s">
        <v>6</v>
      </c>
      <c r="C10" s="224" t="s">
        <v>7</v>
      </c>
      <c r="D10" s="224"/>
      <c r="E10" s="224"/>
      <c r="F10" s="224"/>
      <c r="G10" s="224"/>
      <c r="H10" s="224"/>
      <c r="I10" s="224"/>
      <c r="J10" s="225"/>
      <c r="K10" s="64"/>
      <c r="L10" s="2"/>
      <c r="M10" s="2"/>
    </row>
    <row r="11" spans="2:13" x14ac:dyDescent="0.2">
      <c r="B11" s="27"/>
      <c r="C11" s="2"/>
      <c r="D11" s="2"/>
      <c r="E11" s="2"/>
      <c r="F11" s="2"/>
      <c r="G11" s="2"/>
      <c r="H11" s="2"/>
      <c r="I11" s="2"/>
      <c r="J11" s="69"/>
      <c r="K11" s="64"/>
      <c r="L11" s="2"/>
      <c r="M11" s="2"/>
    </row>
    <row r="12" spans="2:13" x14ac:dyDescent="0.2">
      <c r="B12" s="218" t="s">
        <v>8</v>
      </c>
      <c r="C12" s="29" t="s">
        <v>9</v>
      </c>
      <c r="D12" s="29"/>
      <c r="E12" s="29"/>
      <c r="F12" s="29"/>
      <c r="G12" s="29"/>
      <c r="H12" s="29"/>
      <c r="I12" s="29"/>
      <c r="J12" s="30"/>
      <c r="K12" s="227"/>
      <c r="L12" s="2"/>
      <c r="M12" s="2"/>
    </row>
    <row r="13" spans="2:13" x14ac:dyDescent="0.2">
      <c r="B13" s="219"/>
      <c r="C13" s="34" t="s">
        <v>10</v>
      </c>
      <c r="D13" s="34"/>
      <c r="E13" s="34"/>
      <c r="F13" s="34"/>
      <c r="G13" s="34"/>
      <c r="H13" s="34"/>
      <c r="I13" s="34"/>
      <c r="J13" s="35"/>
      <c r="K13" s="227"/>
      <c r="L13" s="2"/>
      <c r="M13" s="2"/>
    </row>
    <row r="14" spans="2:13" x14ac:dyDescent="0.2">
      <c r="B14" s="27"/>
      <c r="C14" s="2"/>
      <c r="D14" s="2"/>
      <c r="E14" s="2"/>
      <c r="F14" s="2"/>
      <c r="G14" s="2"/>
      <c r="H14" s="2"/>
      <c r="I14" s="2"/>
      <c r="J14" s="66"/>
      <c r="K14" s="227"/>
      <c r="L14" s="2"/>
      <c r="M14" s="2"/>
    </row>
    <row r="15" spans="2:13" x14ac:dyDescent="0.2">
      <c r="B15" s="216" t="s">
        <v>11</v>
      </c>
      <c r="C15" s="28" t="s">
        <v>12</v>
      </c>
      <c r="D15" s="29"/>
      <c r="E15" s="29"/>
      <c r="F15" s="29"/>
      <c r="G15" s="29"/>
      <c r="H15" s="29"/>
      <c r="I15" s="29"/>
      <c r="J15" s="30"/>
      <c r="K15" s="227"/>
      <c r="L15" s="2"/>
      <c r="M15" s="2"/>
    </row>
    <row r="16" spans="2:13" x14ac:dyDescent="0.2">
      <c r="B16" s="217"/>
      <c r="C16" s="33" t="s">
        <v>13</v>
      </c>
      <c r="D16" s="34"/>
      <c r="E16" s="34"/>
      <c r="F16" s="34"/>
      <c r="G16" s="34"/>
      <c r="H16" s="34"/>
      <c r="I16" s="34"/>
      <c r="J16" s="35"/>
      <c r="K16" s="227"/>
      <c r="L16" s="2"/>
      <c r="M16" s="2"/>
    </row>
    <row r="17" spans="2:13" x14ac:dyDescent="0.2">
      <c r="B17" s="27"/>
      <c r="C17" s="2"/>
      <c r="D17" s="2"/>
      <c r="E17" s="2"/>
      <c r="F17" s="2"/>
      <c r="G17" s="2"/>
      <c r="H17" s="2"/>
      <c r="I17" s="2"/>
      <c r="J17" s="66"/>
      <c r="K17" s="227"/>
      <c r="L17" s="2"/>
      <c r="M17" s="2"/>
    </row>
    <row r="18" spans="2:13" ht="20.100000000000001" customHeight="1" x14ac:dyDescent="0.2">
      <c r="B18" s="220" t="s">
        <v>14</v>
      </c>
      <c r="C18" s="224" t="s">
        <v>15</v>
      </c>
      <c r="D18" s="36"/>
      <c r="E18" s="36"/>
      <c r="F18" s="36"/>
      <c r="G18" s="36"/>
      <c r="H18" s="36"/>
      <c r="I18" s="36"/>
      <c r="J18" s="37"/>
      <c r="K18" s="227"/>
      <c r="L18" s="2"/>
      <c r="M18" s="2"/>
    </row>
    <row r="19" spans="2:13" x14ac:dyDescent="0.2">
      <c r="B19" s="27"/>
      <c r="C19" s="2"/>
      <c r="D19" s="2"/>
      <c r="E19" s="2"/>
      <c r="F19" s="2"/>
      <c r="G19" s="2"/>
      <c r="H19" s="2"/>
      <c r="I19" s="2"/>
      <c r="J19" s="66"/>
      <c r="K19" s="227"/>
      <c r="L19" s="2"/>
      <c r="M19" s="2"/>
    </row>
    <row r="20" spans="2:13" ht="20.100000000000001" customHeight="1" x14ac:dyDescent="0.2">
      <c r="B20" s="223" t="s">
        <v>16</v>
      </c>
      <c r="C20" s="226" t="s">
        <v>17</v>
      </c>
      <c r="D20" s="36"/>
      <c r="E20" s="36"/>
      <c r="F20" s="36"/>
      <c r="G20" s="36"/>
      <c r="H20" s="36"/>
      <c r="I20" s="36"/>
      <c r="J20" s="37"/>
      <c r="K20" s="227"/>
      <c r="L20" s="2"/>
      <c r="M20" s="2"/>
    </row>
    <row r="21" spans="2:13" x14ac:dyDescent="0.2">
      <c r="B21" s="27"/>
      <c r="C21" s="2"/>
      <c r="D21" s="2"/>
      <c r="E21" s="2"/>
      <c r="F21" s="2"/>
      <c r="G21" s="2"/>
      <c r="H21" s="2"/>
      <c r="I21" s="2"/>
      <c r="J21" s="66"/>
      <c r="K21" s="227"/>
      <c r="L21" s="2"/>
      <c r="M21" s="2"/>
    </row>
    <row r="22" spans="2:13" ht="20.100000000000001" customHeight="1" x14ac:dyDescent="0.2">
      <c r="B22" s="223" t="s">
        <v>18</v>
      </c>
      <c r="C22" s="226" t="s">
        <v>19</v>
      </c>
      <c r="D22" s="36"/>
      <c r="E22" s="36"/>
      <c r="F22" s="36"/>
      <c r="G22" s="36"/>
      <c r="H22" s="36"/>
      <c r="I22" s="36"/>
      <c r="J22" s="37"/>
      <c r="K22" s="227"/>
      <c r="L22" s="2"/>
      <c r="M22" s="2"/>
    </row>
    <row r="23" spans="2:13" x14ac:dyDescent="0.2">
      <c r="B23" s="27"/>
      <c r="C23" s="2"/>
      <c r="D23" s="2"/>
      <c r="E23" s="2"/>
      <c r="F23" s="2"/>
      <c r="G23" s="2"/>
      <c r="H23" s="2"/>
      <c r="I23" s="2"/>
      <c r="J23" s="66"/>
      <c r="K23" s="227"/>
      <c r="L23" s="2"/>
      <c r="M23" s="2"/>
    </row>
    <row r="24" spans="2:13" ht="20.100000000000001" customHeight="1" x14ac:dyDescent="0.2">
      <c r="B24" s="223" t="s">
        <v>20</v>
      </c>
      <c r="C24" s="226" t="s">
        <v>21</v>
      </c>
      <c r="D24" s="36"/>
      <c r="E24" s="36"/>
      <c r="F24" s="36"/>
      <c r="G24" s="36"/>
      <c r="H24" s="36"/>
      <c r="I24" s="36"/>
      <c r="J24" s="37"/>
      <c r="K24" s="227"/>
      <c r="L24" s="2"/>
      <c r="M24" s="2"/>
    </row>
    <row r="25" spans="2:13" x14ac:dyDescent="0.2">
      <c r="B25" s="27"/>
      <c r="C25" s="2"/>
      <c r="D25" s="2"/>
      <c r="E25" s="2"/>
      <c r="F25" s="2"/>
      <c r="G25" s="2"/>
      <c r="H25" s="2"/>
      <c r="I25" s="2"/>
      <c r="J25" s="66"/>
      <c r="K25" s="227"/>
      <c r="L25" s="2"/>
      <c r="M25" s="2"/>
    </row>
    <row r="26" spans="2:13" x14ac:dyDescent="0.2">
      <c r="B26" s="218" t="s">
        <v>22</v>
      </c>
      <c r="C26" s="29" t="s">
        <v>23</v>
      </c>
      <c r="D26" s="29"/>
      <c r="E26" s="29"/>
      <c r="F26" s="29"/>
      <c r="G26" s="29"/>
      <c r="H26" s="29"/>
      <c r="I26" s="29"/>
      <c r="J26" s="30"/>
      <c r="K26" s="227"/>
      <c r="L26" s="2"/>
      <c r="M26" s="2"/>
    </row>
    <row r="27" spans="2:13" x14ac:dyDescent="0.2">
      <c r="B27" s="219"/>
      <c r="C27" s="34" t="s">
        <v>24</v>
      </c>
      <c r="D27" s="34"/>
      <c r="E27" s="34"/>
      <c r="F27" s="34"/>
      <c r="G27" s="34"/>
      <c r="H27" s="34"/>
      <c r="I27" s="34"/>
      <c r="J27" s="35"/>
      <c r="K27" s="227"/>
      <c r="L27" s="2"/>
      <c r="M27" s="2"/>
    </row>
    <row r="28" spans="2:13" x14ac:dyDescent="0.2">
      <c r="B28" s="27"/>
      <c r="C28" s="2"/>
      <c r="D28" s="2"/>
      <c r="E28" s="2"/>
      <c r="F28" s="2"/>
      <c r="G28" s="2"/>
      <c r="H28" s="2"/>
      <c r="I28" s="2"/>
      <c r="J28" s="66"/>
      <c r="K28" s="227"/>
      <c r="L28" s="2"/>
      <c r="M28" s="2"/>
    </row>
    <row r="29" spans="2:13" ht="20.100000000000001" customHeight="1" x14ac:dyDescent="0.2">
      <c r="B29" s="223" t="s">
        <v>25</v>
      </c>
      <c r="C29" s="226" t="s">
        <v>26</v>
      </c>
      <c r="D29" s="36"/>
      <c r="E29" s="36"/>
      <c r="F29" s="36"/>
      <c r="G29" s="36"/>
      <c r="H29" s="36"/>
      <c r="I29" s="36"/>
      <c r="J29" s="37"/>
      <c r="K29" s="227"/>
      <c r="L29" s="2"/>
      <c r="M29" s="2"/>
    </row>
    <row r="30" spans="2:13" x14ac:dyDescent="0.2">
      <c r="B30" s="27"/>
      <c r="C30" s="2"/>
      <c r="D30" s="2"/>
      <c r="E30" s="2"/>
      <c r="F30" s="2"/>
      <c r="G30" s="2"/>
      <c r="H30" s="2"/>
      <c r="I30" s="2"/>
      <c r="J30" s="66"/>
      <c r="K30" s="227"/>
      <c r="L30" s="2"/>
      <c r="M30" s="2"/>
    </row>
    <row r="31" spans="2:13" x14ac:dyDescent="0.2">
      <c r="B31" s="218" t="s">
        <v>27</v>
      </c>
      <c r="C31" s="29" t="s">
        <v>28</v>
      </c>
      <c r="D31" s="29"/>
      <c r="E31" s="29"/>
      <c r="F31" s="29"/>
      <c r="G31" s="29"/>
      <c r="H31" s="29"/>
      <c r="I31" s="29"/>
      <c r="J31" s="30"/>
      <c r="K31" s="227"/>
      <c r="L31" s="2"/>
      <c r="M31" s="2"/>
    </row>
    <row r="32" spans="2:13" x14ac:dyDescent="0.2">
      <c r="B32" s="219"/>
      <c r="C32" s="34" t="s">
        <v>29</v>
      </c>
      <c r="D32" s="34"/>
      <c r="E32" s="34"/>
      <c r="F32" s="34"/>
      <c r="G32" s="34"/>
      <c r="H32" s="34"/>
      <c r="I32" s="34"/>
      <c r="J32" s="35"/>
      <c r="K32" s="227"/>
      <c r="L32" s="2"/>
      <c r="M32" s="2"/>
    </row>
    <row r="33" spans="2:13" x14ac:dyDescent="0.2">
      <c r="B33" s="27"/>
      <c r="C33" s="2"/>
      <c r="D33" s="2"/>
      <c r="E33" s="2"/>
      <c r="F33" s="2"/>
      <c r="G33" s="2"/>
      <c r="H33" s="2"/>
      <c r="I33" s="2"/>
      <c r="J33" s="66"/>
      <c r="K33" s="227"/>
      <c r="L33" s="2"/>
      <c r="M33" s="2"/>
    </row>
    <row r="34" spans="2:13" x14ac:dyDescent="0.2">
      <c r="B34" s="218" t="s">
        <v>30</v>
      </c>
      <c r="C34" s="29" t="s">
        <v>31</v>
      </c>
      <c r="D34" s="29"/>
      <c r="E34" s="29"/>
      <c r="F34" s="29"/>
      <c r="G34" s="29"/>
      <c r="H34" s="29"/>
      <c r="I34" s="29"/>
      <c r="J34" s="30"/>
      <c r="K34" s="227"/>
      <c r="L34" s="2"/>
      <c r="M34" s="2"/>
    </row>
    <row r="35" spans="2:13" x14ac:dyDescent="0.2">
      <c r="B35" s="219"/>
      <c r="C35" s="34" t="s">
        <v>32</v>
      </c>
      <c r="D35" s="34"/>
      <c r="E35" s="34"/>
      <c r="F35" s="34"/>
      <c r="G35" s="34"/>
      <c r="H35" s="34"/>
      <c r="I35" s="34"/>
      <c r="J35" s="35"/>
      <c r="K35" s="227"/>
      <c r="L35" s="2"/>
      <c r="M35" s="2"/>
    </row>
    <row r="36" spans="2:13" x14ac:dyDescent="0.2">
      <c r="B36" s="67"/>
      <c r="C36" s="68"/>
      <c r="D36" s="68"/>
      <c r="E36" s="68"/>
      <c r="F36" s="68"/>
      <c r="G36" s="68"/>
      <c r="H36" s="68"/>
      <c r="I36" s="68"/>
      <c r="J36" s="69"/>
      <c r="K36" s="227"/>
      <c r="L36" s="2"/>
      <c r="M36" s="2"/>
    </row>
    <row r="38" spans="2:13" ht="15.75" x14ac:dyDescent="0.25">
      <c r="B38" s="39" t="s">
        <v>67</v>
      </c>
      <c r="C38" s="40"/>
      <c r="D38" s="41"/>
      <c r="J38" s="39" t="s">
        <v>125</v>
      </c>
      <c r="K38" s="40"/>
      <c r="L38" s="41"/>
    </row>
    <row r="39" spans="2:13" x14ac:dyDescent="0.2">
      <c r="B39" s="76"/>
      <c r="C39" s="206"/>
      <c r="D39" s="205"/>
      <c r="E39" s="7"/>
      <c r="F39" s="7"/>
      <c r="G39" s="7"/>
      <c r="H39" s="7"/>
      <c r="I39" s="7"/>
      <c r="J39" s="204"/>
      <c r="K39" s="208"/>
      <c r="L39" s="207"/>
    </row>
    <row r="40" spans="2:13" ht="13.5" thickBot="1" x14ac:dyDescent="0.25">
      <c r="B40" s="80"/>
      <c r="C40" s="56" t="s">
        <v>33</v>
      </c>
      <c r="D40" s="16" t="s">
        <v>34</v>
      </c>
      <c r="E40" s="3"/>
      <c r="F40" s="7"/>
      <c r="G40" s="7"/>
      <c r="H40" s="7"/>
      <c r="I40" s="7"/>
      <c r="J40" s="209"/>
      <c r="K40" s="63" t="s">
        <v>33</v>
      </c>
      <c r="L40" s="9" t="s">
        <v>34</v>
      </c>
    </row>
    <row r="41" spans="2:13" ht="13.5" thickBot="1" x14ac:dyDescent="0.25">
      <c r="B41" s="13" t="s">
        <v>35</v>
      </c>
      <c r="C41" s="46">
        <v>20</v>
      </c>
      <c r="D41" s="75"/>
      <c r="E41" s="43"/>
      <c r="F41" s="7"/>
      <c r="G41" s="7"/>
      <c r="H41" s="7"/>
      <c r="I41" s="7"/>
      <c r="J41" s="13" t="s">
        <v>35</v>
      </c>
      <c r="K41" s="46">
        <v>15</v>
      </c>
      <c r="L41" s="79"/>
    </row>
    <row r="42" spans="2:13" ht="13.5" thickBot="1" x14ac:dyDescent="0.25">
      <c r="B42" s="38" t="s">
        <v>36</v>
      </c>
      <c r="C42" s="47">
        <v>0.3</v>
      </c>
      <c r="D42" s="98">
        <f>+(C41*(1+C42))</f>
        <v>26</v>
      </c>
      <c r="E42" s="43"/>
      <c r="F42" s="7"/>
      <c r="G42" s="7"/>
      <c r="H42" s="7"/>
      <c r="I42" s="7"/>
      <c r="J42" s="38" t="s">
        <v>36</v>
      </c>
      <c r="K42" s="47">
        <v>0.3</v>
      </c>
      <c r="L42" s="198">
        <f>+(K41*(1+K42))</f>
        <v>19.5</v>
      </c>
    </row>
    <row r="43" spans="2:13" ht="13.5" thickBot="1" x14ac:dyDescent="0.25">
      <c r="B43" s="13" t="s">
        <v>37</v>
      </c>
      <c r="C43" s="83"/>
      <c r="D43" s="89"/>
      <c r="E43" s="43"/>
      <c r="F43" s="7"/>
      <c r="G43" s="7"/>
      <c r="H43" s="7"/>
      <c r="I43" s="7"/>
      <c r="J43" s="25" t="s">
        <v>37</v>
      </c>
      <c r="K43" s="85"/>
      <c r="L43" s="89"/>
    </row>
    <row r="44" spans="2:13" ht="13.5" thickBot="1" x14ac:dyDescent="0.25">
      <c r="B44" s="38" t="s">
        <v>38</v>
      </c>
      <c r="C44" s="45">
        <v>60</v>
      </c>
      <c r="D44" s="77"/>
      <c r="E44" s="43"/>
      <c r="F44" s="7"/>
      <c r="G44" s="7"/>
      <c r="H44" s="7"/>
      <c r="I44" s="7"/>
      <c r="J44" s="38" t="s">
        <v>38</v>
      </c>
      <c r="K44" s="45">
        <v>60</v>
      </c>
      <c r="L44" s="77"/>
    </row>
    <row r="45" spans="2:13" ht="13.5" thickBot="1" x14ac:dyDescent="0.25">
      <c r="B45" s="13" t="s">
        <v>68</v>
      </c>
      <c r="C45" s="45">
        <v>60</v>
      </c>
      <c r="D45" s="77"/>
      <c r="E45" s="43"/>
      <c r="F45" s="7"/>
      <c r="G45" s="7"/>
      <c r="H45" s="7"/>
      <c r="I45" s="7"/>
      <c r="J45" s="13" t="s">
        <v>39</v>
      </c>
      <c r="K45" s="45">
        <v>45</v>
      </c>
      <c r="L45" s="77"/>
    </row>
    <row r="46" spans="2:13" ht="13.5" thickBot="1" x14ac:dyDescent="0.25">
      <c r="B46" s="38" t="s">
        <v>40</v>
      </c>
      <c r="C46" s="45">
        <v>15</v>
      </c>
      <c r="D46" s="77"/>
      <c r="E46" s="43"/>
      <c r="F46" s="7"/>
      <c r="G46" s="7"/>
      <c r="H46" s="7"/>
      <c r="I46" s="7"/>
      <c r="J46" s="28" t="s">
        <v>40</v>
      </c>
      <c r="K46" s="45">
        <v>15</v>
      </c>
      <c r="L46" s="77"/>
    </row>
    <row r="47" spans="2:13" ht="13.5" thickBot="1" x14ac:dyDescent="0.25">
      <c r="B47" s="76"/>
      <c r="C47" s="45"/>
      <c r="D47" s="77"/>
      <c r="E47" s="43"/>
      <c r="F47" s="7"/>
      <c r="G47" s="7"/>
      <c r="H47" s="7"/>
      <c r="I47" s="7"/>
      <c r="J47" s="86"/>
      <c r="K47" s="45"/>
      <c r="L47" s="77"/>
    </row>
    <row r="48" spans="2:13" ht="13.5" thickBot="1" x14ac:dyDescent="0.25">
      <c r="B48" s="76"/>
      <c r="C48" s="45"/>
      <c r="D48" s="79"/>
      <c r="E48" s="43"/>
      <c r="F48" s="7"/>
      <c r="G48" s="7"/>
      <c r="H48" s="7"/>
      <c r="I48" s="7"/>
      <c r="J48" s="87"/>
      <c r="K48" s="45"/>
      <c r="L48" s="79"/>
    </row>
    <row r="49" spans="2:12" ht="18" customHeight="1" thickBot="1" x14ac:dyDescent="0.25">
      <c r="B49" s="25" t="s">
        <v>41</v>
      </c>
      <c r="C49" s="50"/>
      <c r="D49" s="95">
        <f>SUM(C44:C48)</f>
        <v>135</v>
      </c>
      <c r="E49" s="43"/>
      <c r="F49" s="7"/>
      <c r="G49" s="7"/>
      <c r="H49" s="7"/>
      <c r="I49" s="7"/>
      <c r="J49" s="25" t="s">
        <v>41</v>
      </c>
      <c r="K49" s="88"/>
      <c r="L49" s="199">
        <f>SUM(K44:K48)</f>
        <v>120</v>
      </c>
    </row>
    <row r="50" spans="2:12" ht="13.5" thickBot="1" x14ac:dyDescent="0.25">
      <c r="B50" s="38" t="s">
        <v>42</v>
      </c>
      <c r="C50" s="45">
        <v>30</v>
      </c>
      <c r="D50" s="77"/>
      <c r="E50" s="43"/>
      <c r="F50" s="7"/>
      <c r="G50" s="7"/>
      <c r="H50" s="7"/>
      <c r="I50" s="7"/>
      <c r="J50" s="31" t="s">
        <v>42</v>
      </c>
      <c r="K50" s="45">
        <v>30</v>
      </c>
      <c r="L50" s="74"/>
    </row>
    <row r="51" spans="2:12" ht="13.5" thickBot="1" x14ac:dyDescent="0.25">
      <c r="B51" s="13" t="s">
        <v>43</v>
      </c>
      <c r="C51" s="45">
        <v>2</v>
      </c>
      <c r="D51" s="59">
        <f>+(C50*C51)</f>
        <v>60</v>
      </c>
      <c r="E51" s="43"/>
      <c r="F51" s="7"/>
      <c r="G51" s="7"/>
      <c r="H51" s="7"/>
      <c r="I51" s="7"/>
      <c r="J51" s="70" t="s">
        <v>43</v>
      </c>
      <c r="K51" s="45">
        <v>2</v>
      </c>
      <c r="L51" s="95">
        <f>+(K50*K51)</f>
        <v>60</v>
      </c>
    </row>
    <row r="52" spans="2:12" x14ac:dyDescent="0.2">
      <c r="B52" s="54" t="s">
        <v>44</v>
      </c>
      <c r="C52" s="50"/>
      <c r="D52" s="59">
        <f>+((D49+D51)/60)</f>
        <v>3.25</v>
      </c>
      <c r="E52" s="43"/>
      <c r="F52" s="7"/>
      <c r="G52" s="7"/>
      <c r="H52" s="7"/>
      <c r="I52" s="7"/>
      <c r="J52" s="38" t="s">
        <v>44</v>
      </c>
      <c r="K52" s="78"/>
      <c r="L52" s="59">
        <f>+((L49+L51)/60)</f>
        <v>3</v>
      </c>
    </row>
    <row r="53" spans="2:12" ht="13.5" thickBot="1" x14ac:dyDescent="0.25">
      <c r="B53" s="25" t="s">
        <v>61</v>
      </c>
      <c r="C53" s="90"/>
      <c r="D53" s="96">
        <f>+(D42*D52)</f>
        <v>84.5</v>
      </c>
      <c r="E53" s="43"/>
      <c r="F53" s="7"/>
      <c r="G53" s="7"/>
      <c r="H53" s="7"/>
      <c r="I53" s="7"/>
      <c r="J53" s="13" t="s">
        <v>61</v>
      </c>
      <c r="K53" s="197"/>
      <c r="L53" s="96">
        <f>+(L42*L52)</f>
        <v>58.5</v>
      </c>
    </row>
    <row r="54" spans="2:12" ht="13.5" thickBot="1" x14ac:dyDescent="0.25">
      <c r="B54" s="38" t="s">
        <v>60</v>
      </c>
      <c r="C54" s="46">
        <v>4</v>
      </c>
      <c r="D54" s="91"/>
      <c r="E54" s="43"/>
      <c r="F54" s="7"/>
      <c r="G54" s="7"/>
      <c r="H54" s="7"/>
      <c r="I54" s="7"/>
      <c r="J54" s="38" t="s">
        <v>60</v>
      </c>
      <c r="K54" s="46">
        <v>4</v>
      </c>
      <c r="L54" s="91"/>
    </row>
    <row r="55" spans="2:12" ht="13.5" thickBot="1" x14ac:dyDescent="0.25">
      <c r="B55" s="13" t="s">
        <v>62</v>
      </c>
      <c r="C55" s="46">
        <v>20</v>
      </c>
      <c r="D55" s="92"/>
      <c r="E55" s="43"/>
      <c r="F55" s="7"/>
      <c r="G55" s="7"/>
      <c r="H55" s="7"/>
      <c r="I55" s="7"/>
      <c r="J55" s="13" t="s">
        <v>62</v>
      </c>
      <c r="K55" s="46">
        <v>10</v>
      </c>
      <c r="L55" s="92"/>
    </row>
    <row r="56" spans="2:12" ht="13.5" thickBot="1" x14ac:dyDescent="0.25">
      <c r="B56" s="38" t="s">
        <v>46</v>
      </c>
      <c r="C56" s="47">
        <v>0.35799999999999998</v>
      </c>
      <c r="D56" s="99">
        <f>+((D53+C54+C55)/(1-C56))</f>
        <v>169.00311526479751</v>
      </c>
      <c r="E56" s="1"/>
      <c r="F56" s="13" t="s">
        <v>63</v>
      </c>
      <c r="G56" s="14"/>
      <c r="H56" s="15"/>
      <c r="I56" s="7"/>
      <c r="J56" s="38" t="s">
        <v>46</v>
      </c>
      <c r="K56" s="47">
        <v>0.68</v>
      </c>
      <c r="L56" s="99">
        <f>+((L53+K54+K55)/(1-K56))</f>
        <v>226.56250000000003</v>
      </c>
    </row>
    <row r="57" spans="2:12" ht="13.5" thickBot="1" x14ac:dyDescent="0.25">
      <c r="B57" s="13" t="s">
        <v>47</v>
      </c>
      <c r="C57" s="47">
        <v>0</v>
      </c>
      <c r="D57" s="97">
        <f>+IF(C57=0,D56,(C57+1)*D56)</f>
        <v>169.00311526479751</v>
      </c>
      <c r="E57" s="1"/>
      <c r="F57" s="65">
        <f>+(((D58*C58)+(L58*K58))/(C58+K58))</f>
        <v>0.49441340782122906</v>
      </c>
      <c r="G57" s="7"/>
      <c r="H57" s="7"/>
      <c r="I57" s="7"/>
      <c r="J57" s="71" t="s">
        <v>47</v>
      </c>
      <c r="K57" s="47">
        <v>0</v>
      </c>
      <c r="L57" s="96">
        <f>+IF(K57=0,L56,(K57+1)*L56)</f>
        <v>226.56250000000003</v>
      </c>
    </row>
    <row r="58" spans="2:12" ht="13.5" thickBot="1" x14ac:dyDescent="0.25">
      <c r="B58" s="38" t="s">
        <v>48</v>
      </c>
      <c r="C58" s="46">
        <v>179</v>
      </c>
      <c r="D58" s="100">
        <f>+(((C58-((D53+C54+C55)+(C57*C58)))/C58))</f>
        <v>0.39385474860335196</v>
      </c>
      <c r="E58" s="43"/>
      <c r="F58" s="7"/>
      <c r="G58" s="7"/>
      <c r="H58" s="7"/>
      <c r="I58" s="7"/>
      <c r="J58" s="38" t="s">
        <v>48</v>
      </c>
      <c r="K58" s="46">
        <v>179</v>
      </c>
      <c r="L58" s="106">
        <f>+(((K58-((L53+K54+K55)+(K57*K58)))/K58))</f>
        <v>0.5949720670391061</v>
      </c>
    </row>
    <row r="59" spans="2:12" x14ac:dyDescent="0.2">
      <c r="C59" s="48"/>
      <c r="D59" s="48"/>
    </row>
    <row r="60" spans="2:12" ht="15.75" x14ac:dyDescent="0.2">
      <c r="B60" s="60" t="s">
        <v>64</v>
      </c>
      <c r="C60" s="61"/>
      <c r="D60" s="62"/>
      <c r="E60" s="7"/>
      <c r="F60" s="7"/>
      <c r="G60" s="7"/>
      <c r="H60" s="7"/>
      <c r="I60" s="7"/>
      <c r="J60" s="17"/>
    </row>
    <row r="61" spans="2:12" x14ac:dyDescent="0.2">
      <c r="B61" s="80"/>
      <c r="C61" s="203"/>
      <c r="D61" s="84"/>
      <c r="E61" s="7"/>
      <c r="F61" s="7"/>
      <c r="G61" s="7"/>
      <c r="H61" s="7"/>
      <c r="I61" s="7"/>
    </row>
    <row r="62" spans="2:12" ht="13.5" thickBot="1" x14ac:dyDescent="0.25">
      <c r="B62" s="80"/>
      <c r="C62" s="56" t="s">
        <v>33</v>
      </c>
      <c r="D62" s="16" t="s">
        <v>34</v>
      </c>
      <c r="E62" s="7"/>
      <c r="F62" s="7"/>
      <c r="G62" s="7"/>
      <c r="H62" s="7"/>
      <c r="I62" s="7"/>
    </row>
    <row r="63" spans="2:12" ht="13.5" thickBot="1" x14ac:dyDescent="0.25">
      <c r="B63" s="13" t="s">
        <v>35</v>
      </c>
      <c r="C63" s="46">
        <v>15</v>
      </c>
      <c r="D63" s="79"/>
      <c r="E63" s="7"/>
      <c r="F63" s="7"/>
      <c r="G63" s="7"/>
      <c r="H63" s="7"/>
      <c r="I63" s="7"/>
    </row>
    <row r="64" spans="2:12" ht="13.5" thickBot="1" x14ac:dyDescent="0.25">
      <c r="B64" s="38" t="s">
        <v>36</v>
      </c>
      <c r="C64" s="47">
        <v>0.24</v>
      </c>
      <c r="D64" s="57">
        <f>+(C63*(1+C64))</f>
        <v>18.600000000000001</v>
      </c>
      <c r="E64" s="7"/>
      <c r="F64" s="7"/>
      <c r="G64" s="7"/>
      <c r="H64" s="7"/>
      <c r="I64" s="7"/>
    </row>
    <row r="65" spans="2:9" ht="13.5" thickBot="1" x14ac:dyDescent="0.25">
      <c r="B65" s="13" t="s">
        <v>37</v>
      </c>
      <c r="C65" s="109"/>
      <c r="D65" s="89"/>
      <c r="E65" s="7"/>
      <c r="F65" s="7"/>
      <c r="G65" s="7"/>
      <c r="H65" s="7"/>
      <c r="I65" s="7"/>
    </row>
    <row r="66" spans="2:9" ht="13.5" thickBot="1" x14ac:dyDescent="0.25">
      <c r="B66" s="38" t="s">
        <v>38</v>
      </c>
      <c r="C66" s="45">
        <v>90</v>
      </c>
      <c r="D66" s="77"/>
      <c r="E66" s="7"/>
      <c r="F66" s="7"/>
      <c r="G66" s="7"/>
      <c r="H66" s="7"/>
      <c r="I66" s="7"/>
    </row>
    <row r="67" spans="2:9" ht="13.5" thickBot="1" x14ac:dyDescent="0.25">
      <c r="B67" s="13" t="s">
        <v>39</v>
      </c>
      <c r="C67" s="45">
        <v>45</v>
      </c>
      <c r="D67" s="77"/>
      <c r="E67" s="7"/>
      <c r="F67" s="7"/>
      <c r="G67" s="7"/>
      <c r="H67" s="7"/>
      <c r="I67" s="7"/>
    </row>
    <row r="68" spans="2:9" ht="13.5" thickBot="1" x14ac:dyDescent="0.25">
      <c r="B68" s="38" t="s">
        <v>40</v>
      </c>
      <c r="C68" s="45">
        <v>15</v>
      </c>
      <c r="D68" s="77"/>
      <c r="E68" s="7"/>
      <c r="F68" s="7"/>
      <c r="G68" s="7"/>
      <c r="H68" s="7"/>
      <c r="I68" s="7"/>
    </row>
    <row r="69" spans="2:9" ht="13.5" thickBot="1" x14ac:dyDescent="0.25">
      <c r="B69" s="80"/>
      <c r="C69" s="45"/>
      <c r="D69" s="77"/>
      <c r="E69" s="7"/>
      <c r="F69" s="7"/>
      <c r="G69" s="7"/>
      <c r="H69" s="7"/>
      <c r="I69" s="7"/>
    </row>
    <row r="70" spans="2:9" ht="13.5" thickBot="1" x14ac:dyDescent="0.25">
      <c r="B70" s="13" t="s">
        <v>59</v>
      </c>
      <c r="C70" s="45">
        <v>20</v>
      </c>
      <c r="D70" s="79"/>
      <c r="E70" s="7"/>
      <c r="F70" s="7"/>
      <c r="G70" s="7"/>
      <c r="H70" s="7"/>
      <c r="I70" s="7"/>
    </row>
    <row r="71" spans="2:9" ht="13.5" thickBot="1" x14ac:dyDescent="0.25">
      <c r="B71" s="54" t="s">
        <v>41</v>
      </c>
      <c r="C71" s="53"/>
      <c r="D71" s="108">
        <f>SUM(C65:C70)</f>
        <v>170</v>
      </c>
      <c r="E71" s="7"/>
      <c r="F71" s="7"/>
      <c r="G71" s="7"/>
      <c r="H71" s="7"/>
      <c r="I71" s="7"/>
    </row>
    <row r="72" spans="2:9" ht="13.5" thickBot="1" x14ac:dyDescent="0.25">
      <c r="B72" s="13" t="s">
        <v>42</v>
      </c>
      <c r="C72" s="45">
        <v>30</v>
      </c>
      <c r="D72" s="77"/>
      <c r="E72" s="7"/>
      <c r="F72" s="7"/>
      <c r="G72" s="7"/>
      <c r="H72" s="7"/>
      <c r="I72" s="7"/>
    </row>
    <row r="73" spans="2:9" ht="13.5" thickBot="1" x14ac:dyDescent="0.25">
      <c r="B73" s="38" t="s">
        <v>43</v>
      </c>
      <c r="C73" s="45">
        <v>2</v>
      </c>
      <c r="D73" s="59">
        <f>+(C72*C73)</f>
        <v>60</v>
      </c>
      <c r="E73" s="7"/>
      <c r="F73" s="7"/>
      <c r="G73" s="7"/>
      <c r="H73" s="7"/>
      <c r="I73" s="7"/>
    </row>
    <row r="74" spans="2:9" ht="13.5" thickBot="1" x14ac:dyDescent="0.25">
      <c r="B74" s="13" t="s">
        <v>49</v>
      </c>
      <c r="C74" s="45">
        <v>0</v>
      </c>
      <c r="D74" s="59">
        <f>+(D73+C74)</f>
        <v>60</v>
      </c>
      <c r="E74" s="7"/>
      <c r="F74" s="7"/>
      <c r="G74" s="7"/>
      <c r="H74" s="7"/>
      <c r="I74" s="7"/>
    </row>
    <row r="75" spans="2:9" x14ac:dyDescent="0.2">
      <c r="B75" s="54" t="s">
        <v>44</v>
      </c>
      <c r="C75" s="55"/>
      <c r="D75" s="107">
        <f>+((D71+D74)/60)</f>
        <v>3.8333333333333335</v>
      </c>
      <c r="E75" s="7"/>
      <c r="F75" s="7"/>
      <c r="G75" s="7"/>
      <c r="H75" s="7"/>
      <c r="I75" s="7"/>
    </row>
    <row r="76" spans="2:9" x14ac:dyDescent="0.2">
      <c r="B76" s="25" t="s">
        <v>45</v>
      </c>
      <c r="C76" s="78"/>
      <c r="D76" s="102">
        <f>+(D64*D75)</f>
        <v>71.300000000000011</v>
      </c>
      <c r="E76" s="7"/>
      <c r="F76" s="7"/>
      <c r="G76" s="7"/>
      <c r="H76" s="7"/>
      <c r="I76" s="7"/>
    </row>
    <row r="77" spans="2:9" ht="13.5" thickBot="1" x14ac:dyDescent="0.25">
      <c r="B77" s="54" t="s">
        <v>50</v>
      </c>
      <c r="C77" s="110"/>
      <c r="D77" s="89"/>
      <c r="E77" s="7"/>
      <c r="F77" s="7"/>
      <c r="G77" s="7"/>
      <c r="H77" s="7"/>
      <c r="I77" s="7"/>
    </row>
    <row r="78" spans="2:9" ht="13.5" thickBot="1" x14ac:dyDescent="0.25">
      <c r="B78" s="71" t="s">
        <v>51</v>
      </c>
      <c r="C78" s="46">
        <v>4</v>
      </c>
      <c r="D78" s="77"/>
      <c r="E78" s="7"/>
      <c r="F78" s="7"/>
      <c r="G78" s="7"/>
      <c r="H78" s="7"/>
      <c r="I78" s="7"/>
    </row>
    <row r="79" spans="2:9" ht="13.5" thickBot="1" x14ac:dyDescent="0.25">
      <c r="B79" s="86"/>
      <c r="C79" s="44"/>
      <c r="D79" s="77"/>
      <c r="E79" s="7"/>
      <c r="F79" s="7"/>
      <c r="G79" s="7"/>
      <c r="H79" s="7"/>
      <c r="I79" s="7"/>
    </row>
    <row r="80" spans="2:9" ht="13.5" thickBot="1" x14ac:dyDescent="0.25">
      <c r="B80" s="111"/>
      <c r="C80" s="44"/>
      <c r="D80" s="77"/>
      <c r="E80" s="7"/>
      <c r="F80" s="7"/>
      <c r="G80" s="7"/>
      <c r="H80" s="7"/>
      <c r="I80" s="7"/>
    </row>
    <row r="81" spans="2:9" ht="13.5" thickBot="1" x14ac:dyDescent="0.25">
      <c r="B81" s="111"/>
      <c r="C81" s="44"/>
      <c r="D81" s="77"/>
      <c r="E81" s="7"/>
      <c r="F81" s="7"/>
      <c r="G81" s="7"/>
      <c r="H81" s="7"/>
      <c r="I81" s="7"/>
    </row>
    <row r="82" spans="2:9" ht="13.5" thickBot="1" x14ac:dyDescent="0.25">
      <c r="B82" s="111"/>
      <c r="C82" s="44"/>
      <c r="D82" s="77"/>
      <c r="E82" s="7"/>
      <c r="F82" s="7"/>
      <c r="G82" s="7"/>
      <c r="H82" s="7"/>
      <c r="I82" s="7"/>
    </row>
    <row r="83" spans="2:9" ht="13.5" thickBot="1" x14ac:dyDescent="0.25">
      <c r="B83" s="87"/>
      <c r="C83" s="46">
        <v>0</v>
      </c>
      <c r="D83" s="79"/>
      <c r="E83" s="7"/>
      <c r="F83" s="7"/>
      <c r="G83" s="7"/>
      <c r="H83" s="7"/>
      <c r="I83" s="7"/>
    </row>
    <row r="84" spans="2:9" x14ac:dyDescent="0.2">
      <c r="B84" s="73" t="s">
        <v>52</v>
      </c>
      <c r="C84" s="55"/>
      <c r="D84" s="103">
        <f>SUM(C78:C83)</f>
        <v>4</v>
      </c>
      <c r="E84" s="7"/>
      <c r="F84" s="7"/>
      <c r="G84" s="7"/>
      <c r="H84" s="7"/>
      <c r="I84" s="7"/>
    </row>
    <row r="85" spans="2:9" ht="13.5" thickBot="1" x14ac:dyDescent="0.25">
      <c r="B85" s="25" t="s">
        <v>53</v>
      </c>
      <c r="C85" s="112"/>
      <c r="D85" s="101">
        <f>+(D76+D84)</f>
        <v>75.300000000000011</v>
      </c>
      <c r="E85" s="7"/>
      <c r="F85" s="7"/>
      <c r="G85" s="7"/>
      <c r="H85" s="7"/>
      <c r="I85" s="7"/>
    </row>
    <row r="86" spans="2:9" ht="13.5" thickBot="1" x14ac:dyDescent="0.25">
      <c r="B86" s="38" t="s">
        <v>54</v>
      </c>
      <c r="C86" s="47">
        <v>0.43</v>
      </c>
      <c r="D86" s="97">
        <f>+(D85/(1-C86))</f>
        <v>132.10526315789474</v>
      </c>
      <c r="E86" s="7"/>
      <c r="F86" s="7"/>
      <c r="G86" s="7"/>
      <c r="H86" s="7"/>
      <c r="I86" s="7"/>
    </row>
    <row r="87" spans="2:9" ht="13.5" thickBot="1" x14ac:dyDescent="0.25">
      <c r="B87" s="13" t="s">
        <v>55</v>
      </c>
      <c r="C87" s="47">
        <v>0</v>
      </c>
      <c r="D87" s="97">
        <f>+IF(C87=0,D86,(C87+1)*D86)</f>
        <v>132.10526315789474</v>
      </c>
      <c r="E87" s="7"/>
      <c r="F87" s="7"/>
      <c r="G87" s="7"/>
      <c r="H87" s="7"/>
      <c r="I87" s="7"/>
    </row>
    <row r="88" spans="2:9" ht="13.5" thickBot="1" x14ac:dyDescent="0.25">
      <c r="B88" s="38" t="s">
        <v>56</v>
      </c>
      <c r="C88" s="46">
        <v>135</v>
      </c>
      <c r="D88" s="106">
        <f>+(((C88-(D85+(C87*C88)))/C88))</f>
        <v>0.44222222222222213</v>
      </c>
      <c r="E88" s="7"/>
      <c r="F88" s="7"/>
      <c r="G88" s="7"/>
      <c r="H88" s="7"/>
      <c r="I88" s="7"/>
    </row>
    <row r="89" spans="2:9" x14ac:dyDescent="0.2">
      <c r="B89" s="7"/>
      <c r="C89" s="49"/>
      <c r="D89" s="49"/>
      <c r="E89" s="7"/>
      <c r="F89" s="7"/>
      <c r="G89" s="7"/>
      <c r="H89" s="7"/>
      <c r="I89" s="7"/>
    </row>
    <row r="90" spans="2:9" ht="15.75" x14ac:dyDescent="0.25">
      <c r="B90" s="39" t="s">
        <v>65</v>
      </c>
      <c r="C90" s="58"/>
      <c r="D90" s="59"/>
      <c r="E90" s="7"/>
      <c r="F90" s="7"/>
      <c r="G90" s="7"/>
      <c r="H90" s="7"/>
      <c r="I90" s="7"/>
    </row>
    <row r="91" spans="2:9" x14ac:dyDescent="0.2">
      <c r="B91" s="80"/>
      <c r="C91" s="203"/>
      <c r="D91" s="84"/>
      <c r="E91" s="7"/>
      <c r="F91" s="7"/>
      <c r="G91" s="7"/>
      <c r="H91" s="7"/>
      <c r="I91" s="7"/>
    </row>
    <row r="92" spans="2:9" ht="13.5" thickBot="1" x14ac:dyDescent="0.25">
      <c r="B92" s="80"/>
      <c r="C92" s="56" t="s">
        <v>33</v>
      </c>
      <c r="D92" s="16" t="s">
        <v>34</v>
      </c>
      <c r="E92" s="7"/>
      <c r="F92" s="7"/>
      <c r="G92" s="7"/>
      <c r="H92" s="7"/>
      <c r="I92" s="7"/>
    </row>
    <row r="93" spans="2:9" ht="13.5" thickBot="1" x14ac:dyDescent="0.25">
      <c r="B93" s="13" t="s">
        <v>35</v>
      </c>
      <c r="C93" s="46">
        <v>15</v>
      </c>
      <c r="D93" s="82"/>
      <c r="E93" s="7"/>
      <c r="F93" s="13" t="s">
        <v>57</v>
      </c>
      <c r="G93" s="14"/>
      <c r="H93" s="14"/>
      <c r="I93" s="15"/>
    </row>
    <row r="94" spans="2:9" ht="13.5" thickBot="1" x14ac:dyDescent="0.25">
      <c r="B94" s="38" t="s">
        <v>36</v>
      </c>
      <c r="C94" s="47">
        <v>0.3</v>
      </c>
      <c r="D94" s="105">
        <f>+(C93*(1+C94))</f>
        <v>19.5</v>
      </c>
      <c r="E94" s="7"/>
      <c r="F94" s="54" t="s">
        <v>126</v>
      </c>
      <c r="G94" s="7"/>
      <c r="H94" s="7"/>
      <c r="I94" s="7"/>
    </row>
    <row r="95" spans="2:9" ht="13.5" thickBot="1" x14ac:dyDescent="0.25">
      <c r="B95" s="25" t="s">
        <v>37</v>
      </c>
      <c r="C95" s="83"/>
      <c r="D95" s="89"/>
      <c r="E95" s="7"/>
      <c r="F95" s="7"/>
      <c r="G95" s="7"/>
      <c r="H95" s="7"/>
      <c r="I95" s="7"/>
    </row>
    <row r="96" spans="2:9" ht="13.5" thickBot="1" x14ac:dyDescent="0.25">
      <c r="B96" s="38" t="s">
        <v>38</v>
      </c>
      <c r="C96" s="45">
        <v>120</v>
      </c>
      <c r="D96" s="77"/>
      <c r="E96" s="7"/>
      <c r="F96" s="7"/>
      <c r="G96" s="7"/>
      <c r="H96" s="7"/>
      <c r="I96" s="7"/>
    </row>
    <row r="97" spans="2:9" ht="13.5" thickBot="1" x14ac:dyDescent="0.25">
      <c r="B97" s="13" t="s">
        <v>66</v>
      </c>
      <c r="C97" s="45">
        <v>45</v>
      </c>
      <c r="D97" s="77"/>
      <c r="E97" s="7"/>
      <c r="F97" s="7"/>
      <c r="G97" s="7"/>
      <c r="H97" s="7"/>
      <c r="I97" s="7"/>
    </row>
    <row r="98" spans="2:9" ht="13.5" thickBot="1" x14ac:dyDescent="0.25">
      <c r="B98" s="28" t="s">
        <v>40</v>
      </c>
      <c r="C98" s="45">
        <v>15</v>
      </c>
      <c r="D98" s="77"/>
      <c r="E98" s="7"/>
      <c r="F98" s="7"/>
      <c r="G98" s="7"/>
      <c r="H98" s="7"/>
      <c r="I98" s="7"/>
    </row>
    <row r="99" spans="2:9" ht="13.5" thickBot="1" x14ac:dyDescent="0.25">
      <c r="B99" s="204"/>
      <c r="C99" s="45"/>
      <c r="D99" s="77"/>
      <c r="E99" s="7"/>
      <c r="F99" s="7"/>
      <c r="G99" s="7"/>
      <c r="H99" s="7"/>
      <c r="I99" s="7"/>
    </row>
    <row r="100" spans="2:9" ht="13.5" thickBot="1" x14ac:dyDescent="0.25">
      <c r="B100" s="202"/>
      <c r="C100" s="45"/>
      <c r="D100" s="79"/>
      <c r="E100" s="7"/>
      <c r="F100" s="7"/>
      <c r="G100" s="7"/>
      <c r="H100" s="7"/>
      <c r="I100" s="7"/>
    </row>
    <row r="101" spans="2:9" ht="13.5" thickBot="1" x14ac:dyDescent="0.25">
      <c r="B101" s="72" t="s">
        <v>41</v>
      </c>
      <c r="C101" s="84"/>
      <c r="D101" s="95">
        <f>SUM(C95:C100)</f>
        <v>180</v>
      </c>
      <c r="E101" s="7"/>
      <c r="F101" s="7"/>
      <c r="G101" s="7"/>
      <c r="H101" s="7"/>
      <c r="I101" s="7"/>
    </row>
    <row r="102" spans="2:9" ht="13.5" thickBot="1" x14ac:dyDescent="0.25">
      <c r="B102" s="38" t="s">
        <v>42</v>
      </c>
      <c r="C102" s="45">
        <v>30</v>
      </c>
      <c r="D102" s="113"/>
      <c r="E102" s="7"/>
      <c r="F102" s="7"/>
      <c r="G102" s="7"/>
      <c r="H102" s="7"/>
      <c r="I102" s="7"/>
    </row>
    <row r="103" spans="2:9" ht="13.5" thickBot="1" x14ac:dyDescent="0.25">
      <c r="B103" s="13" t="s">
        <v>43</v>
      </c>
      <c r="C103" s="45">
        <v>2</v>
      </c>
      <c r="D103" s="59">
        <f>+(C102*C103)</f>
        <v>60</v>
      </c>
      <c r="E103" s="7"/>
      <c r="F103" s="7"/>
      <c r="G103" s="7"/>
      <c r="H103" s="7"/>
      <c r="I103" s="7"/>
    </row>
    <row r="104" spans="2:9" ht="13.5" thickBot="1" x14ac:dyDescent="0.25">
      <c r="B104" s="38" t="s">
        <v>49</v>
      </c>
      <c r="C104" s="45">
        <v>60</v>
      </c>
      <c r="D104" s="59">
        <f>+(D103+C104)</f>
        <v>120</v>
      </c>
      <c r="E104" s="7"/>
      <c r="F104" s="7"/>
      <c r="G104" s="7"/>
      <c r="H104" s="7"/>
      <c r="I104" s="7"/>
    </row>
    <row r="105" spans="2:9" x14ac:dyDescent="0.2">
      <c r="B105" s="25" t="s">
        <v>44</v>
      </c>
      <c r="C105" s="52"/>
      <c r="D105" s="59">
        <f>+((D101+D104)/60)</f>
        <v>5</v>
      </c>
      <c r="E105" s="7"/>
      <c r="F105" s="7"/>
      <c r="G105" s="7"/>
      <c r="H105" s="7"/>
      <c r="I105" s="7"/>
    </row>
    <row r="106" spans="2:9" x14ac:dyDescent="0.2">
      <c r="B106" s="54" t="s">
        <v>45</v>
      </c>
      <c r="C106" s="50"/>
      <c r="D106" s="96">
        <f>+(D94*D105)</f>
        <v>97.5</v>
      </c>
      <c r="E106" s="7"/>
      <c r="F106" s="7"/>
      <c r="G106" s="7"/>
      <c r="H106" s="7"/>
      <c r="I106" s="7"/>
    </row>
    <row r="107" spans="2:9" ht="13.5" thickBot="1" x14ac:dyDescent="0.25">
      <c r="B107" s="25" t="s">
        <v>50</v>
      </c>
      <c r="C107" s="51"/>
      <c r="D107" s="81"/>
      <c r="E107" s="7"/>
      <c r="F107" s="7"/>
      <c r="G107" s="7"/>
      <c r="H107" s="7"/>
      <c r="I107" s="7"/>
    </row>
    <row r="108" spans="2:9" ht="13.5" thickBot="1" x14ac:dyDescent="0.25">
      <c r="B108" s="38" t="s">
        <v>51</v>
      </c>
      <c r="C108" s="46">
        <v>4</v>
      </c>
      <c r="D108" s="93"/>
      <c r="E108" s="7"/>
      <c r="F108" s="7"/>
      <c r="G108" s="7"/>
      <c r="H108" s="7"/>
      <c r="I108" s="7"/>
    </row>
    <row r="109" spans="2:9" ht="13.5" thickBot="1" x14ac:dyDescent="0.25">
      <c r="B109" s="71" t="s">
        <v>58</v>
      </c>
      <c r="C109" s="46">
        <v>50</v>
      </c>
      <c r="D109" s="93"/>
      <c r="E109" s="7"/>
      <c r="F109" s="7"/>
      <c r="G109" s="7"/>
      <c r="H109" s="7"/>
      <c r="I109" s="7"/>
    </row>
    <row r="110" spans="2:9" ht="13.5" thickBot="1" x14ac:dyDescent="0.25">
      <c r="B110" s="200"/>
      <c r="C110" s="44"/>
      <c r="D110" s="93"/>
      <c r="E110" s="7"/>
      <c r="F110" s="7"/>
      <c r="G110" s="7"/>
      <c r="H110" s="7"/>
      <c r="I110" s="7"/>
    </row>
    <row r="111" spans="2:9" ht="13.5" thickBot="1" x14ac:dyDescent="0.25">
      <c r="B111" s="201"/>
      <c r="C111" s="44"/>
      <c r="D111" s="93"/>
      <c r="E111" s="7"/>
      <c r="F111" s="7"/>
      <c r="G111" s="7"/>
      <c r="H111" s="7"/>
      <c r="I111" s="7"/>
    </row>
    <row r="112" spans="2:9" ht="13.5" thickBot="1" x14ac:dyDescent="0.25">
      <c r="B112" s="201"/>
      <c r="C112" s="44"/>
      <c r="D112" s="93"/>
      <c r="E112" s="7"/>
      <c r="F112" s="7"/>
      <c r="G112" s="7"/>
      <c r="H112" s="7"/>
      <c r="I112" s="7"/>
    </row>
    <row r="113" spans="2:9" ht="13.5" thickBot="1" x14ac:dyDescent="0.25">
      <c r="B113" s="202"/>
      <c r="C113" s="44"/>
      <c r="D113" s="94"/>
      <c r="E113" s="7"/>
      <c r="F113" s="7"/>
      <c r="G113" s="7"/>
      <c r="H113" s="7"/>
      <c r="I113" s="7"/>
    </row>
    <row r="114" spans="2:9" x14ac:dyDescent="0.2">
      <c r="B114" s="73" t="s">
        <v>52</v>
      </c>
      <c r="C114" s="52"/>
      <c r="D114" s="103">
        <f>SUM(C108:C113)</f>
        <v>54</v>
      </c>
      <c r="E114" s="7"/>
      <c r="F114" s="7"/>
      <c r="G114" s="7"/>
      <c r="H114" s="7"/>
      <c r="I114" s="7"/>
    </row>
    <row r="115" spans="2:9" ht="13.5" thickBot="1" x14ac:dyDescent="0.25">
      <c r="B115" s="25" t="s">
        <v>53</v>
      </c>
      <c r="C115" s="51"/>
      <c r="D115" s="101">
        <f>+(D106+D114)</f>
        <v>151.5</v>
      </c>
      <c r="E115" s="7"/>
      <c r="F115" s="7"/>
      <c r="G115" s="7"/>
      <c r="H115" s="7"/>
      <c r="I115" s="7"/>
    </row>
    <row r="116" spans="2:9" ht="13.5" thickBot="1" x14ac:dyDescent="0.25">
      <c r="B116" s="38" t="s">
        <v>54</v>
      </c>
      <c r="C116" s="47">
        <v>0.43</v>
      </c>
      <c r="D116" s="97">
        <f>+(D115/(1-C116))</f>
        <v>265.78947368421052</v>
      </c>
      <c r="E116" s="7"/>
      <c r="F116" s="7"/>
      <c r="G116" s="7"/>
      <c r="H116" s="7"/>
      <c r="I116" s="7"/>
    </row>
    <row r="117" spans="2:9" ht="13.5" thickBot="1" x14ac:dyDescent="0.25">
      <c r="B117" s="13" t="s">
        <v>55</v>
      </c>
      <c r="C117" s="47">
        <v>0</v>
      </c>
      <c r="D117" s="97">
        <f>+IF(C117=0,D116,(C117+1)*D116)</f>
        <v>265.78947368421052</v>
      </c>
      <c r="E117" s="7"/>
      <c r="F117" s="7"/>
      <c r="G117" s="7"/>
      <c r="H117" s="7"/>
      <c r="I117" s="7"/>
    </row>
    <row r="118" spans="2:9" ht="13.5" thickBot="1" x14ac:dyDescent="0.25">
      <c r="B118" s="38" t="s">
        <v>56</v>
      </c>
      <c r="C118" s="46">
        <v>269</v>
      </c>
      <c r="D118" s="104">
        <f>+(((C118-(D115+(C117*C118)))/C118))</f>
        <v>0.43680297397769519</v>
      </c>
      <c r="E118" s="7"/>
      <c r="F118" s="7"/>
      <c r="G118" s="7"/>
      <c r="H118" s="7"/>
      <c r="I118" s="7"/>
    </row>
  </sheetData>
  <mergeCells count="6">
    <mergeCell ref="B6:B8"/>
    <mergeCell ref="B34:B35"/>
    <mergeCell ref="B31:B32"/>
    <mergeCell ref="B26:B27"/>
    <mergeCell ref="B15:B16"/>
    <mergeCell ref="B12:B13"/>
  </mergeCells>
  <phoneticPr fontId="0" type="noConversion"/>
  <pageMargins left="0.5" right="0.5" top="0.5" bottom="0.5" header="0.5" footer="0.5"/>
  <pageSetup scale="60" fitToHeight="0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abSelected="1" zoomScale="85" zoomScaleNormal="85" workbookViewId="0">
      <selection activeCell="G38" sqref="G38"/>
    </sheetView>
  </sheetViews>
  <sheetFormatPr defaultRowHeight="12.75" x14ac:dyDescent="0.2"/>
  <cols>
    <col min="1" max="1" width="2.42578125" customWidth="1"/>
    <col min="2" max="2" width="62.5703125" customWidth="1"/>
    <col min="3" max="3" width="21.140625" customWidth="1"/>
    <col min="4" max="4" width="15.42578125" bestFit="1" customWidth="1"/>
    <col min="5" max="5" width="18.5703125" bestFit="1" customWidth="1"/>
    <col min="6" max="12" width="15.5703125" bestFit="1" customWidth="1"/>
    <col min="13" max="13" width="14.28515625" bestFit="1" customWidth="1"/>
    <col min="14" max="14" width="17.5703125" bestFit="1" customWidth="1"/>
    <col min="15" max="15" width="18.85546875" bestFit="1" customWidth="1"/>
  </cols>
  <sheetData>
    <row r="1" spans="2:15" ht="12.75" customHeight="1" x14ac:dyDescent="0.2">
      <c r="B1" s="212" t="s">
        <v>123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2:15" ht="12.75" customHeight="1" x14ac:dyDescent="0.2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15" ht="13.5" thickBot="1" x14ac:dyDescent="0.25">
      <c r="B3" s="175" t="s">
        <v>79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20.100000000000001" customHeight="1" thickBot="1" x14ac:dyDescent="0.25">
      <c r="B4" s="42"/>
      <c r="C4" s="194" t="s">
        <v>80</v>
      </c>
      <c r="D4" s="195" t="s">
        <v>81</v>
      </c>
      <c r="E4" s="196" t="s">
        <v>82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20.100000000000001" customHeight="1" x14ac:dyDescent="0.2">
      <c r="B5" s="22" t="s">
        <v>116</v>
      </c>
      <c r="C5" s="127">
        <v>500000</v>
      </c>
      <c r="D5" s="129">
        <v>0.4</v>
      </c>
      <c r="E5" s="125">
        <f>+(C5*D5)</f>
        <v>200000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20.100000000000001" customHeight="1" x14ac:dyDescent="0.2">
      <c r="B6" s="157" t="s">
        <v>117</v>
      </c>
      <c r="C6" s="127">
        <v>600000</v>
      </c>
      <c r="D6" s="129">
        <v>0.42</v>
      </c>
      <c r="E6" s="125">
        <f>+(C6*D6)</f>
        <v>252000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0.100000000000001" customHeight="1" x14ac:dyDescent="0.2">
      <c r="B7" s="157" t="s">
        <v>108</v>
      </c>
      <c r="C7" s="127">
        <v>300000</v>
      </c>
      <c r="D7" s="129">
        <v>0.45</v>
      </c>
      <c r="E7" s="125">
        <f>+(C7*D7)</f>
        <v>135000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20.100000000000001" customHeight="1" x14ac:dyDescent="0.2">
      <c r="B8" s="157"/>
      <c r="C8" s="127">
        <v>0</v>
      </c>
      <c r="D8" s="129">
        <v>0</v>
      </c>
      <c r="E8" s="125">
        <f>+(C8*D8)</f>
        <v>0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20.100000000000001" customHeight="1" x14ac:dyDescent="0.2">
      <c r="B9" s="157"/>
      <c r="C9" s="127">
        <v>0</v>
      </c>
      <c r="D9" s="129">
        <v>0</v>
      </c>
      <c r="E9" s="125">
        <f>+(C9*D9)</f>
        <v>0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20.100000000000001" customHeight="1" thickBot="1" x14ac:dyDescent="0.25">
      <c r="B10" s="171" t="s">
        <v>83</v>
      </c>
      <c r="C10" s="165">
        <f>SUM(C5:C9)</f>
        <v>1400000</v>
      </c>
      <c r="D10" s="182">
        <f>+(E10/C10)</f>
        <v>0.41928571428571426</v>
      </c>
      <c r="E10" s="183">
        <f>SUM(E5:E9)</f>
        <v>587000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20.100000000000001" customHeight="1" thickBot="1" x14ac:dyDescent="0.25">
      <c r="B11" s="6"/>
      <c r="C11" s="130"/>
      <c r="D11" s="131"/>
      <c r="E11" s="130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20.100000000000001" customHeight="1" thickBot="1" x14ac:dyDescent="0.25">
      <c r="B12" s="22" t="s">
        <v>104</v>
      </c>
      <c r="C12" s="184">
        <v>500000</v>
      </c>
      <c r="D12" s="187" t="s">
        <v>119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2:15" ht="20.100000000000001" customHeight="1" x14ac:dyDescent="0.2">
      <c r="B13" s="157" t="s">
        <v>84</v>
      </c>
      <c r="C13" s="181">
        <v>0.04</v>
      </c>
      <c r="D13" s="142">
        <v>0.06</v>
      </c>
      <c r="E13" s="142">
        <v>0.06</v>
      </c>
      <c r="F13" s="142">
        <v>0.08</v>
      </c>
      <c r="G13" s="142">
        <v>0.09</v>
      </c>
      <c r="H13" s="142">
        <v>0.11</v>
      </c>
      <c r="I13" s="142">
        <v>0.12</v>
      </c>
      <c r="J13" s="142">
        <v>0.12</v>
      </c>
      <c r="K13" s="142">
        <v>0.09</v>
      </c>
      <c r="L13" s="142">
        <v>0.1</v>
      </c>
      <c r="M13" s="142">
        <v>7.0000000000000007E-2</v>
      </c>
      <c r="N13" s="185">
        <v>0.06</v>
      </c>
      <c r="O13" s="186">
        <f>SUM(C13:N13)</f>
        <v>1</v>
      </c>
    </row>
    <row r="14" spans="2:15" ht="20.100000000000001" customHeight="1" x14ac:dyDescent="0.2">
      <c r="B14" s="176" t="s">
        <v>85</v>
      </c>
      <c r="C14" s="128" t="s">
        <v>86</v>
      </c>
      <c r="D14" s="128" t="s">
        <v>87</v>
      </c>
      <c r="E14" s="128" t="s">
        <v>88</v>
      </c>
      <c r="F14" s="128" t="s">
        <v>89</v>
      </c>
      <c r="G14" s="128" t="s">
        <v>90</v>
      </c>
      <c r="H14" s="128" t="s">
        <v>91</v>
      </c>
      <c r="I14" s="128" t="s">
        <v>92</v>
      </c>
      <c r="J14" s="128" t="s">
        <v>93</v>
      </c>
      <c r="K14" s="128" t="s">
        <v>94</v>
      </c>
      <c r="L14" s="128" t="s">
        <v>95</v>
      </c>
      <c r="M14" s="128" t="s">
        <v>96</v>
      </c>
      <c r="N14" s="132" t="s">
        <v>97</v>
      </c>
      <c r="O14" s="167" t="s">
        <v>98</v>
      </c>
    </row>
    <row r="15" spans="2:15" ht="20.100000000000001" customHeight="1" x14ac:dyDescent="0.2">
      <c r="B15" s="158" t="s">
        <v>99</v>
      </c>
      <c r="C15" s="124">
        <f>+($C$12*C13)</f>
        <v>20000</v>
      </c>
      <c r="D15" s="124">
        <f t="shared" ref="D15:N15" si="0">+($C$12*D13)</f>
        <v>30000</v>
      </c>
      <c r="E15" s="124">
        <f t="shared" si="0"/>
        <v>30000</v>
      </c>
      <c r="F15" s="124">
        <f t="shared" si="0"/>
        <v>40000</v>
      </c>
      <c r="G15" s="124">
        <f t="shared" si="0"/>
        <v>45000</v>
      </c>
      <c r="H15" s="124">
        <f t="shared" si="0"/>
        <v>55000</v>
      </c>
      <c r="I15" s="124">
        <f t="shared" si="0"/>
        <v>60000</v>
      </c>
      <c r="J15" s="124">
        <f t="shared" si="0"/>
        <v>60000</v>
      </c>
      <c r="K15" s="124">
        <f t="shared" si="0"/>
        <v>45000</v>
      </c>
      <c r="L15" s="124">
        <f t="shared" si="0"/>
        <v>50000</v>
      </c>
      <c r="M15" s="124">
        <f t="shared" si="0"/>
        <v>35000</v>
      </c>
      <c r="N15" s="138">
        <f t="shared" si="0"/>
        <v>30000</v>
      </c>
      <c r="O15" s="168">
        <f>SUM(C15:N15)</f>
        <v>500000</v>
      </c>
    </row>
    <row r="16" spans="2:15" ht="20.100000000000001" customHeight="1" x14ac:dyDescent="0.2">
      <c r="B16" s="158" t="s">
        <v>100</v>
      </c>
      <c r="C16" s="127">
        <v>30000</v>
      </c>
      <c r="D16" s="127">
        <v>45000</v>
      </c>
      <c r="E16" s="127">
        <v>33000</v>
      </c>
      <c r="F16" s="127">
        <v>45000</v>
      </c>
      <c r="G16" s="127">
        <v>45000</v>
      </c>
      <c r="H16" s="127">
        <v>60000</v>
      </c>
      <c r="I16" s="127">
        <v>65000</v>
      </c>
      <c r="J16" s="127">
        <v>67000</v>
      </c>
      <c r="K16" s="127">
        <v>50000</v>
      </c>
      <c r="L16" s="127">
        <v>55000</v>
      </c>
      <c r="M16" s="127">
        <v>45000</v>
      </c>
      <c r="N16" s="139">
        <v>50000</v>
      </c>
      <c r="O16" s="126">
        <f>SUM(C16:N16)</f>
        <v>590000</v>
      </c>
    </row>
    <row r="17" spans="2:15" ht="20.100000000000001" customHeight="1" x14ac:dyDescent="0.2">
      <c r="B17" s="158" t="s">
        <v>111</v>
      </c>
      <c r="C17" s="133">
        <f>+(C16)</f>
        <v>30000</v>
      </c>
      <c r="D17" s="133">
        <f>+(C17+D16)</f>
        <v>75000</v>
      </c>
      <c r="E17" s="133">
        <f t="shared" ref="E17:M17" si="1">+(D17+E16)</f>
        <v>108000</v>
      </c>
      <c r="F17" s="133">
        <f t="shared" si="1"/>
        <v>153000</v>
      </c>
      <c r="G17" s="133">
        <f t="shared" si="1"/>
        <v>198000</v>
      </c>
      <c r="H17" s="133">
        <f t="shared" si="1"/>
        <v>258000</v>
      </c>
      <c r="I17" s="133">
        <f t="shared" si="1"/>
        <v>323000</v>
      </c>
      <c r="J17" s="133">
        <f t="shared" si="1"/>
        <v>390000</v>
      </c>
      <c r="K17" s="133">
        <f t="shared" si="1"/>
        <v>440000</v>
      </c>
      <c r="L17" s="133">
        <f t="shared" si="1"/>
        <v>495000</v>
      </c>
      <c r="M17" s="133">
        <f t="shared" si="1"/>
        <v>540000</v>
      </c>
      <c r="N17" s="140">
        <f>+(M17+N16)</f>
        <v>590000</v>
      </c>
      <c r="O17" s="177"/>
    </row>
    <row r="18" spans="2:15" ht="20.100000000000001" customHeight="1" thickBot="1" x14ac:dyDescent="0.25">
      <c r="B18" s="171" t="s">
        <v>110</v>
      </c>
      <c r="C18" s="178">
        <f>+(C16-$C$12)</f>
        <v>-470000</v>
      </c>
      <c r="D18" s="178">
        <f t="shared" ref="D18:N18" si="2">+(D17-$C$12)</f>
        <v>-425000</v>
      </c>
      <c r="E18" s="178">
        <f t="shared" si="2"/>
        <v>-392000</v>
      </c>
      <c r="F18" s="178">
        <f t="shared" si="2"/>
        <v>-347000</v>
      </c>
      <c r="G18" s="178">
        <f t="shared" si="2"/>
        <v>-302000</v>
      </c>
      <c r="H18" s="178">
        <f t="shared" si="2"/>
        <v>-242000</v>
      </c>
      <c r="I18" s="178">
        <f t="shared" si="2"/>
        <v>-177000</v>
      </c>
      <c r="J18" s="178">
        <f t="shared" si="2"/>
        <v>-110000</v>
      </c>
      <c r="K18" s="178">
        <f t="shared" si="2"/>
        <v>-60000</v>
      </c>
      <c r="L18" s="178">
        <f t="shared" si="2"/>
        <v>-5000</v>
      </c>
      <c r="M18" s="178">
        <f t="shared" si="2"/>
        <v>40000</v>
      </c>
      <c r="N18" s="179">
        <f t="shared" si="2"/>
        <v>90000</v>
      </c>
      <c r="O18" s="180"/>
    </row>
    <row r="19" spans="2:15" ht="20.100000000000001" customHeight="1" thickBot="1" x14ac:dyDescent="0.25">
      <c r="B19" s="134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5" ht="20.100000000000001" customHeight="1" thickBot="1" x14ac:dyDescent="0.25">
      <c r="B20" s="151" t="s">
        <v>127</v>
      </c>
      <c r="C20" s="184">
        <v>600000</v>
      </c>
      <c r="D20" s="187" t="s">
        <v>121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2:15" ht="20.100000000000001" customHeight="1" x14ac:dyDescent="0.2">
      <c r="B21" s="157" t="s">
        <v>84</v>
      </c>
      <c r="C21" s="142">
        <v>0.04</v>
      </c>
      <c r="D21" s="142">
        <v>0.06</v>
      </c>
      <c r="E21" s="142">
        <v>0.06</v>
      </c>
      <c r="F21" s="142">
        <v>0.08</v>
      </c>
      <c r="G21" s="142">
        <v>0.09</v>
      </c>
      <c r="H21" s="142">
        <v>0.11</v>
      </c>
      <c r="I21" s="142">
        <v>0.12</v>
      </c>
      <c r="J21" s="142">
        <v>0.12</v>
      </c>
      <c r="K21" s="142">
        <v>0.09</v>
      </c>
      <c r="L21" s="142">
        <v>0.1</v>
      </c>
      <c r="M21" s="142">
        <v>7.0000000000000007E-2</v>
      </c>
      <c r="N21" s="142">
        <v>0.06</v>
      </c>
      <c r="O21" s="186">
        <f>SUM(C21:N21)</f>
        <v>1</v>
      </c>
    </row>
    <row r="22" spans="2:15" ht="20.100000000000001" customHeight="1" x14ac:dyDescent="0.2">
      <c r="B22" s="158" t="s">
        <v>85</v>
      </c>
      <c r="C22" s="128" t="s">
        <v>86</v>
      </c>
      <c r="D22" s="128" t="s">
        <v>87</v>
      </c>
      <c r="E22" s="128" t="s">
        <v>88</v>
      </c>
      <c r="F22" s="128" t="s">
        <v>89</v>
      </c>
      <c r="G22" s="128" t="s">
        <v>90</v>
      </c>
      <c r="H22" s="128" t="s">
        <v>91</v>
      </c>
      <c r="I22" s="128" t="s">
        <v>92</v>
      </c>
      <c r="J22" s="128" t="s">
        <v>93</v>
      </c>
      <c r="K22" s="128" t="s">
        <v>94</v>
      </c>
      <c r="L22" s="128" t="s">
        <v>95</v>
      </c>
      <c r="M22" s="128" t="s">
        <v>96</v>
      </c>
      <c r="N22" s="128" t="s">
        <v>97</v>
      </c>
      <c r="O22" s="167" t="s">
        <v>98</v>
      </c>
    </row>
    <row r="23" spans="2:15" ht="20.100000000000001" customHeight="1" x14ac:dyDescent="0.2">
      <c r="B23" s="158" t="s">
        <v>99</v>
      </c>
      <c r="C23" s="124">
        <f>+($C$20*C21)</f>
        <v>24000</v>
      </c>
      <c r="D23" s="124">
        <f t="shared" ref="D23:N23" si="3">+($C$20*D21)</f>
        <v>36000</v>
      </c>
      <c r="E23" s="124">
        <f t="shared" si="3"/>
        <v>36000</v>
      </c>
      <c r="F23" s="124">
        <f t="shared" si="3"/>
        <v>48000</v>
      </c>
      <c r="G23" s="124">
        <f t="shared" si="3"/>
        <v>54000</v>
      </c>
      <c r="H23" s="124">
        <f t="shared" si="3"/>
        <v>66000</v>
      </c>
      <c r="I23" s="124">
        <f t="shared" si="3"/>
        <v>72000</v>
      </c>
      <c r="J23" s="124">
        <f t="shared" si="3"/>
        <v>72000</v>
      </c>
      <c r="K23" s="124">
        <f t="shared" si="3"/>
        <v>54000</v>
      </c>
      <c r="L23" s="124">
        <f t="shared" si="3"/>
        <v>60000</v>
      </c>
      <c r="M23" s="124">
        <f t="shared" si="3"/>
        <v>42000.000000000007</v>
      </c>
      <c r="N23" s="124">
        <f t="shared" si="3"/>
        <v>36000</v>
      </c>
      <c r="O23" s="168">
        <f>SUM(C23:N23)</f>
        <v>600000</v>
      </c>
    </row>
    <row r="24" spans="2:15" ht="20.100000000000001" customHeight="1" x14ac:dyDescent="0.2">
      <c r="B24" s="158" t="s">
        <v>100</v>
      </c>
      <c r="C24" s="127">
        <v>30000</v>
      </c>
      <c r="D24" s="127">
        <v>45000</v>
      </c>
      <c r="E24" s="127">
        <v>30000</v>
      </c>
      <c r="F24" s="127">
        <v>30000</v>
      </c>
      <c r="G24" s="127">
        <v>30000</v>
      </c>
      <c r="H24" s="127">
        <v>30000</v>
      </c>
      <c r="I24" s="127">
        <v>30000</v>
      </c>
      <c r="J24" s="127">
        <v>30000</v>
      </c>
      <c r="K24" s="127">
        <v>30000</v>
      </c>
      <c r="L24" s="127">
        <v>30000</v>
      </c>
      <c r="M24" s="127">
        <v>30000</v>
      </c>
      <c r="N24" s="127">
        <v>30000</v>
      </c>
      <c r="O24" s="169">
        <f>SUM(C24:N24)</f>
        <v>375000</v>
      </c>
    </row>
    <row r="25" spans="2:15" ht="20.100000000000001" customHeight="1" x14ac:dyDescent="0.2">
      <c r="B25" s="162" t="s">
        <v>101</v>
      </c>
      <c r="C25" s="143">
        <f t="shared" ref="C25:O25" si="4">+(C24-C23)</f>
        <v>6000</v>
      </c>
      <c r="D25" s="143">
        <f t="shared" si="4"/>
        <v>9000</v>
      </c>
      <c r="E25" s="143">
        <f t="shared" si="4"/>
        <v>-6000</v>
      </c>
      <c r="F25" s="143">
        <f t="shared" si="4"/>
        <v>-18000</v>
      </c>
      <c r="G25" s="143">
        <f t="shared" si="4"/>
        <v>-24000</v>
      </c>
      <c r="H25" s="143">
        <f t="shared" si="4"/>
        <v>-36000</v>
      </c>
      <c r="I25" s="143">
        <f t="shared" si="4"/>
        <v>-42000</v>
      </c>
      <c r="J25" s="143">
        <f t="shared" si="4"/>
        <v>-42000</v>
      </c>
      <c r="K25" s="143">
        <f t="shared" si="4"/>
        <v>-24000</v>
      </c>
      <c r="L25" s="143">
        <f t="shared" si="4"/>
        <v>-30000</v>
      </c>
      <c r="M25" s="143">
        <f t="shared" si="4"/>
        <v>-12000.000000000007</v>
      </c>
      <c r="N25" s="143">
        <f t="shared" si="4"/>
        <v>-6000</v>
      </c>
      <c r="O25" s="170">
        <f t="shared" si="4"/>
        <v>-225000</v>
      </c>
    </row>
    <row r="26" spans="2:15" ht="20.100000000000001" customHeight="1" thickBot="1" x14ac:dyDescent="0.25">
      <c r="B26" s="171" t="s">
        <v>115</v>
      </c>
      <c r="C26" s="172"/>
      <c r="D26" s="173">
        <f>+(C25+D25)</f>
        <v>15000</v>
      </c>
      <c r="E26" s="173">
        <f>+(D26+E25)</f>
        <v>9000</v>
      </c>
      <c r="F26" s="173">
        <f t="shared" ref="F26:N26" si="5">+(E26+F25)</f>
        <v>-9000</v>
      </c>
      <c r="G26" s="173">
        <f t="shared" si="5"/>
        <v>-33000</v>
      </c>
      <c r="H26" s="173">
        <f t="shared" si="5"/>
        <v>-69000</v>
      </c>
      <c r="I26" s="173">
        <f t="shared" si="5"/>
        <v>-111000</v>
      </c>
      <c r="J26" s="173">
        <f t="shared" si="5"/>
        <v>-153000</v>
      </c>
      <c r="K26" s="173">
        <f t="shared" si="5"/>
        <v>-177000</v>
      </c>
      <c r="L26" s="173">
        <f t="shared" si="5"/>
        <v>-207000</v>
      </c>
      <c r="M26" s="173">
        <f t="shared" si="5"/>
        <v>-219000</v>
      </c>
      <c r="N26" s="173">
        <f t="shared" si="5"/>
        <v>-225000</v>
      </c>
      <c r="O26" s="174"/>
    </row>
    <row r="27" spans="2:15" ht="20.100000000000001" customHeight="1" thickBot="1" x14ac:dyDescent="0.25">
      <c r="B27" s="13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2:15" ht="20.100000000000001" customHeight="1" thickBot="1" x14ac:dyDescent="0.25">
      <c r="B28" s="151" t="s">
        <v>118</v>
      </c>
      <c r="C28" s="184">
        <v>400000</v>
      </c>
      <c r="D28" s="187" t="s">
        <v>120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2:15" ht="20.100000000000001" customHeight="1" x14ac:dyDescent="0.2">
      <c r="B29" s="157" t="s">
        <v>84</v>
      </c>
      <c r="C29" s="141">
        <v>0.04</v>
      </c>
      <c r="D29" s="141">
        <v>0.06</v>
      </c>
      <c r="E29" s="141">
        <v>0.06</v>
      </c>
      <c r="F29" s="141">
        <v>0.08</v>
      </c>
      <c r="G29" s="141">
        <v>0.09</v>
      </c>
      <c r="H29" s="141">
        <v>0.11</v>
      </c>
      <c r="I29" s="141">
        <v>0.12</v>
      </c>
      <c r="J29" s="141">
        <v>0.12</v>
      </c>
      <c r="K29" s="141">
        <v>0.09</v>
      </c>
      <c r="L29" s="141">
        <v>0.1</v>
      </c>
      <c r="M29" s="141">
        <v>7.0000000000000007E-2</v>
      </c>
      <c r="N29" s="189">
        <v>0.06</v>
      </c>
      <c r="O29" s="190">
        <f>SUM(C29:N29)</f>
        <v>1</v>
      </c>
    </row>
    <row r="30" spans="2:15" ht="20.100000000000001" customHeight="1" x14ac:dyDescent="0.2">
      <c r="B30" s="158" t="s">
        <v>85</v>
      </c>
      <c r="C30" s="128" t="s">
        <v>86</v>
      </c>
      <c r="D30" s="128" t="s">
        <v>87</v>
      </c>
      <c r="E30" s="128" t="s">
        <v>88</v>
      </c>
      <c r="F30" s="128" t="s">
        <v>89</v>
      </c>
      <c r="G30" s="128" t="s">
        <v>90</v>
      </c>
      <c r="H30" s="128" t="s">
        <v>91</v>
      </c>
      <c r="I30" s="128" t="s">
        <v>92</v>
      </c>
      <c r="J30" s="128" t="s">
        <v>93</v>
      </c>
      <c r="K30" s="128" t="s">
        <v>94</v>
      </c>
      <c r="L30" s="128" t="s">
        <v>95</v>
      </c>
      <c r="M30" s="128" t="s">
        <v>96</v>
      </c>
      <c r="N30" s="128" t="s">
        <v>97</v>
      </c>
      <c r="O30" s="159" t="s">
        <v>98</v>
      </c>
    </row>
    <row r="31" spans="2:15" ht="20.100000000000001" customHeight="1" x14ac:dyDescent="0.2">
      <c r="B31" s="158" t="s">
        <v>99</v>
      </c>
      <c r="C31" s="115">
        <f>+($C$28*C29)</f>
        <v>16000</v>
      </c>
      <c r="D31" s="115">
        <f t="shared" ref="D31:N31" si="6">+($C$28*D29)</f>
        <v>24000</v>
      </c>
      <c r="E31" s="115">
        <f t="shared" si="6"/>
        <v>24000</v>
      </c>
      <c r="F31" s="115">
        <f t="shared" si="6"/>
        <v>32000</v>
      </c>
      <c r="G31" s="115">
        <f t="shared" si="6"/>
        <v>36000</v>
      </c>
      <c r="H31" s="115">
        <f t="shared" si="6"/>
        <v>44000</v>
      </c>
      <c r="I31" s="115">
        <f t="shared" si="6"/>
        <v>48000</v>
      </c>
      <c r="J31" s="115">
        <f t="shared" si="6"/>
        <v>48000</v>
      </c>
      <c r="K31" s="115">
        <f t="shared" si="6"/>
        <v>36000</v>
      </c>
      <c r="L31" s="115">
        <f t="shared" si="6"/>
        <v>40000</v>
      </c>
      <c r="M31" s="115">
        <f t="shared" si="6"/>
        <v>28000.000000000004</v>
      </c>
      <c r="N31" s="115">
        <f t="shared" si="6"/>
        <v>24000</v>
      </c>
      <c r="O31" s="160">
        <f>SUM(C31:N31)</f>
        <v>400000</v>
      </c>
    </row>
    <row r="32" spans="2:15" ht="20.100000000000001" customHeight="1" x14ac:dyDescent="0.2">
      <c r="B32" s="158" t="s">
        <v>100</v>
      </c>
      <c r="C32" s="146">
        <v>0</v>
      </c>
      <c r="D32" s="146">
        <v>0</v>
      </c>
      <c r="E32" s="146">
        <v>18000</v>
      </c>
      <c r="F32" s="146">
        <v>24000</v>
      </c>
      <c r="G32" s="146">
        <v>27000</v>
      </c>
      <c r="H32" s="146">
        <v>44000</v>
      </c>
      <c r="I32" s="146">
        <v>48000</v>
      </c>
      <c r="J32" s="146">
        <v>48000</v>
      </c>
      <c r="K32" s="146">
        <v>36000</v>
      </c>
      <c r="L32" s="146">
        <v>40000</v>
      </c>
      <c r="M32" s="146">
        <v>28000</v>
      </c>
      <c r="N32" s="146">
        <v>24000</v>
      </c>
      <c r="O32" s="116">
        <f>SUM(C32:N32)</f>
        <v>337000</v>
      </c>
    </row>
    <row r="33" spans="2:15" ht="20.100000000000001" customHeight="1" x14ac:dyDescent="0.2">
      <c r="B33" s="158" t="s">
        <v>122</v>
      </c>
      <c r="C33" s="147">
        <f>+(C32*0.2)</f>
        <v>0</v>
      </c>
      <c r="D33" s="147">
        <f t="shared" ref="D33:N33" si="7">+(D32*0.2)+C33</f>
        <v>0</v>
      </c>
      <c r="E33" s="147">
        <f t="shared" si="7"/>
        <v>3600</v>
      </c>
      <c r="F33" s="147">
        <f t="shared" si="7"/>
        <v>8400</v>
      </c>
      <c r="G33" s="147">
        <f t="shared" si="7"/>
        <v>13800</v>
      </c>
      <c r="H33" s="147">
        <f t="shared" si="7"/>
        <v>22600</v>
      </c>
      <c r="I33" s="147">
        <f t="shared" si="7"/>
        <v>32200</v>
      </c>
      <c r="J33" s="147">
        <f t="shared" si="7"/>
        <v>41800</v>
      </c>
      <c r="K33" s="147">
        <f t="shared" si="7"/>
        <v>49000</v>
      </c>
      <c r="L33" s="147">
        <f t="shared" si="7"/>
        <v>57000</v>
      </c>
      <c r="M33" s="147">
        <f t="shared" si="7"/>
        <v>62600</v>
      </c>
      <c r="N33" s="147">
        <f t="shared" si="7"/>
        <v>67400</v>
      </c>
      <c r="O33" s="161"/>
    </row>
    <row r="34" spans="2:15" ht="20.100000000000001" customHeight="1" x14ac:dyDescent="0.2">
      <c r="B34" s="162" t="s">
        <v>101</v>
      </c>
      <c r="C34" s="144">
        <f t="shared" ref="C34:O34" si="8">+(C32-C31)</f>
        <v>-16000</v>
      </c>
      <c r="D34" s="144">
        <f t="shared" si="8"/>
        <v>-24000</v>
      </c>
      <c r="E34" s="144">
        <f t="shared" si="8"/>
        <v>-6000</v>
      </c>
      <c r="F34" s="144">
        <f t="shared" si="8"/>
        <v>-8000</v>
      </c>
      <c r="G34" s="144">
        <f t="shared" si="8"/>
        <v>-9000</v>
      </c>
      <c r="H34" s="144">
        <f t="shared" si="8"/>
        <v>0</v>
      </c>
      <c r="I34" s="144">
        <f t="shared" si="8"/>
        <v>0</v>
      </c>
      <c r="J34" s="144">
        <f t="shared" si="8"/>
        <v>0</v>
      </c>
      <c r="K34" s="144">
        <f t="shared" si="8"/>
        <v>0</v>
      </c>
      <c r="L34" s="144">
        <f t="shared" si="8"/>
        <v>0</v>
      </c>
      <c r="M34" s="144">
        <f t="shared" si="8"/>
        <v>-3.637978807091713E-12</v>
      </c>
      <c r="N34" s="144">
        <f t="shared" si="8"/>
        <v>0</v>
      </c>
      <c r="O34" s="145">
        <f t="shared" si="8"/>
        <v>-63000</v>
      </c>
    </row>
    <row r="35" spans="2:15" ht="20.100000000000001" customHeight="1" thickBot="1" x14ac:dyDescent="0.25">
      <c r="B35" s="163" t="s">
        <v>107</v>
      </c>
      <c r="C35" s="164"/>
      <c r="D35" s="165">
        <f>+(C34+D34)</f>
        <v>-40000</v>
      </c>
      <c r="E35" s="165">
        <f>+(D35+E34)</f>
        <v>-46000</v>
      </c>
      <c r="F35" s="165">
        <f t="shared" ref="F35:N35" si="9">+(E35+F34)</f>
        <v>-54000</v>
      </c>
      <c r="G35" s="165">
        <f t="shared" si="9"/>
        <v>-63000</v>
      </c>
      <c r="H35" s="165">
        <f t="shared" si="9"/>
        <v>-63000</v>
      </c>
      <c r="I35" s="165">
        <f t="shared" si="9"/>
        <v>-63000</v>
      </c>
      <c r="J35" s="165">
        <f t="shared" si="9"/>
        <v>-63000</v>
      </c>
      <c r="K35" s="165">
        <f t="shared" si="9"/>
        <v>-63000</v>
      </c>
      <c r="L35" s="165">
        <f t="shared" si="9"/>
        <v>-63000</v>
      </c>
      <c r="M35" s="165">
        <f t="shared" si="9"/>
        <v>-63000</v>
      </c>
      <c r="N35" s="165">
        <f t="shared" si="9"/>
        <v>-63000</v>
      </c>
      <c r="O35" s="166"/>
    </row>
    <row r="36" spans="2:15" ht="20.100000000000001" customHeight="1" thickBot="1" x14ac:dyDescent="0.25">
      <c r="B36" s="134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20.100000000000001" customHeight="1" thickBot="1" x14ac:dyDescent="0.25">
      <c r="B37" s="191" t="s">
        <v>106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2:15" ht="20.100000000000001" customHeight="1" x14ac:dyDescent="0.2">
      <c r="B38" s="150" t="s">
        <v>102</v>
      </c>
      <c r="C38" s="192">
        <f>+(50000/12)</f>
        <v>4166.666666666667</v>
      </c>
      <c r="D38" s="192">
        <f t="shared" ref="D38:N38" si="10">+(50000/12)</f>
        <v>4166.666666666667</v>
      </c>
      <c r="E38" s="192">
        <f t="shared" si="10"/>
        <v>4166.666666666667</v>
      </c>
      <c r="F38" s="192">
        <f t="shared" si="10"/>
        <v>4166.666666666667</v>
      </c>
      <c r="G38" s="192">
        <f t="shared" si="10"/>
        <v>4166.666666666667</v>
      </c>
      <c r="H38" s="192">
        <f t="shared" si="10"/>
        <v>4166.666666666667</v>
      </c>
      <c r="I38" s="192">
        <f t="shared" si="10"/>
        <v>4166.666666666667</v>
      </c>
      <c r="J38" s="192">
        <f t="shared" si="10"/>
        <v>4166.666666666667</v>
      </c>
      <c r="K38" s="192">
        <f t="shared" si="10"/>
        <v>4166.666666666667</v>
      </c>
      <c r="L38" s="192">
        <f t="shared" si="10"/>
        <v>4166.666666666667</v>
      </c>
      <c r="M38" s="192">
        <f t="shared" si="10"/>
        <v>4166.666666666667</v>
      </c>
      <c r="N38" s="192">
        <f t="shared" si="10"/>
        <v>4166.666666666667</v>
      </c>
      <c r="O38" s="116">
        <f>SUM(C38:N38)</f>
        <v>49999.999999999993</v>
      </c>
    </row>
    <row r="39" spans="2:15" ht="20.100000000000001" customHeight="1" x14ac:dyDescent="0.2">
      <c r="B39" s="150" t="s">
        <v>109</v>
      </c>
      <c r="C39" s="144">
        <f t="shared" ref="C39:N39" si="11">IF((C$18&gt;0),(C16*0.03),0)</f>
        <v>0</v>
      </c>
      <c r="D39" s="144">
        <f t="shared" si="11"/>
        <v>0</v>
      </c>
      <c r="E39" s="144">
        <f t="shared" si="11"/>
        <v>0</v>
      </c>
      <c r="F39" s="144">
        <f t="shared" si="11"/>
        <v>0</v>
      </c>
      <c r="G39" s="144">
        <f t="shared" si="11"/>
        <v>0</v>
      </c>
      <c r="H39" s="144">
        <f t="shared" si="11"/>
        <v>0</v>
      </c>
      <c r="I39" s="144">
        <f t="shared" si="11"/>
        <v>0</v>
      </c>
      <c r="J39" s="144">
        <f t="shared" si="11"/>
        <v>0</v>
      </c>
      <c r="K39" s="144">
        <f t="shared" si="11"/>
        <v>0</v>
      </c>
      <c r="L39" s="144">
        <f t="shared" si="11"/>
        <v>0</v>
      </c>
      <c r="M39" s="144">
        <f t="shared" si="11"/>
        <v>1350</v>
      </c>
      <c r="N39" s="144">
        <f t="shared" si="11"/>
        <v>1500</v>
      </c>
      <c r="O39" s="116">
        <f>SUM(C39:N39)</f>
        <v>2850</v>
      </c>
    </row>
    <row r="40" spans="2:15" ht="20.100000000000001" customHeight="1" x14ac:dyDescent="0.2">
      <c r="B40" s="150" t="s">
        <v>113</v>
      </c>
      <c r="C40" s="144">
        <f>IF((C$33-50000&gt;0),(C32*0.2),0)</f>
        <v>0</v>
      </c>
      <c r="D40" s="144">
        <f>IF((D$33-50000&gt;0),(D32*0.2),0)</f>
        <v>0</v>
      </c>
      <c r="E40" s="144">
        <f>IF((E$33-50000&gt;0),(E32*0.2),0)</f>
        <v>0</v>
      </c>
      <c r="F40" s="144">
        <f t="shared" ref="F40:N40" si="12">IF((F$33-50000&gt;0),(F32*0.2),0)</f>
        <v>0</v>
      </c>
      <c r="G40" s="144">
        <f t="shared" si="12"/>
        <v>0</v>
      </c>
      <c r="H40" s="144">
        <f t="shared" si="12"/>
        <v>0</v>
      </c>
      <c r="I40" s="144">
        <f t="shared" si="12"/>
        <v>0</v>
      </c>
      <c r="J40" s="144">
        <f t="shared" si="12"/>
        <v>0</v>
      </c>
      <c r="K40" s="144">
        <f t="shared" si="12"/>
        <v>0</v>
      </c>
      <c r="L40" s="144">
        <f t="shared" si="12"/>
        <v>8000</v>
      </c>
      <c r="M40" s="144">
        <f t="shared" si="12"/>
        <v>5600</v>
      </c>
      <c r="N40" s="144">
        <f t="shared" si="12"/>
        <v>4800</v>
      </c>
      <c r="O40" s="116">
        <f>SUM(C40:N40)</f>
        <v>18400</v>
      </c>
    </row>
    <row r="41" spans="2:15" ht="20.100000000000001" customHeight="1" x14ac:dyDescent="0.2">
      <c r="B41" s="152" t="s">
        <v>128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4">
        <v>10000</v>
      </c>
      <c r="N41" s="144">
        <v>10000</v>
      </c>
      <c r="O41" s="116">
        <f>SUM(C41:N41)</f>
        <v>20000</v>
      </c>
    </row>
    <row r="42" spans="2:15" ht="20.100000000000001" customHeight="1" x14ac:dyDescent="0.2">
      <c r="B42" s="154" t="s">
        <v>112</v>
      </c>
      <c r="C42" s="155"/>
      <c r="D42" s="135"/>
      <c r="E42" s="135"/>
      <c r="F42" s="135"/>
      <c r="G42" s="135"/>
      <c r="H42" s="135"/>
      <c r="I42" s="135"/>
      <c r="J42" s="136"/>
      <c r="K42" s="135"/>
      <c r="L42" s="135"/>
      <c r="M42" s="137"/>
      <c r="N42" s="135"/>
      <c r="O42" s="193">
        <f>SUM(O38+O39+O40+O41)</f>
        <v>91250</v>
      </c>
    </row>
    <row r="43" spans="2:15" ht="20.100000000000001" customHeight="1" x14ac:dyDescent="0.2">
      <c r="B43" s="152" t="s">
        <v>103</v>
      </c>
      <c r="C43" s="148"/>
      <c r="D43" s="148"/>
      <c r="E43" s="148"/>
      <c r="F43" s="148"/>
      <c r="G43" s="148"/>
      <c r="H43" s="148"/>
      <c r="I43" s="148"/>
      <c r="J43" s="153"/>
      <c r="K43" s="148"/>
      <c r="L43" s="148"/>
      <c r="M43" s="153"/>
      <c r="N43" s="149"/>
      <c r="O43" s="116">
        <f t="shared" ref="O43:O44" si="13">SUM(C43:N43)</f>
        <v>0</v>
      </c>
    </row>
    <row r="44" spans="2:15" ht="20.100000000000001" customHeight="1" x14ac:dyDescent="0.2">
      <c r="B44" s="152" t="s">
        <v>114</v>
      </c>
      <c r="C44" s="156"/>
      <c r="D44" s="118"/>
      <c r="E44" s="118"/>
      <c r="F44" s="118"/>
      <c r="G44" s="118"/>
      <c r="H44" s="118"/>
      <c r="I44" s="118"/>
      <c r="J44" s="122"/>
      <c r="K44" s="118"/>
      <c r="L44" s="118"/>
      <c r="M44" s="122"/>
      <c r="N44" s="118"/>
      <c r="O44" s="116">
        <f t="shared" si="13"/>
        <v>0</v>
      </c>
    </row>
    <row r="45" spans="2:15" ht="20.100000000000001" customHeight="1" thickBot="1" x14ac:dyDescent="0.25">
      <c r="B45" s="119" t="s">
        <v>105</v>
      </c>
      <c r="C45" s="114"/>
      <c r="D45" s="114"/>
      <c r="E45" s="114"/>
      <c r="F45" s="114"/>
      <c r="G45" s="114"/>
      <c r="H45" s="114"/>
      <c r="I45" s="114"/>
      <c r="J45" s="120"/>
      <c r="K45" s="114"/>
      <c r="L45" s="114"/>
      <c r="M45" s="121"/>
      <c r="N45" s="114"/>
      <c r="O45" s="193">
        <f>SUM(O42+O43+O44)</f>
        <v>91250</v>
      </c>
    </row>
  </sheetData>
  <mergeCells count="1">
    <mergeCell ref="B1:O2"/>
  </mergeCells>
  <pageMargins left="0.2" right="0.2" top="0.25" bottom="0.25" header="0.3" footer="0.3"/>
  <pageSetup scale="67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YR SA Plan Discount Schedule</vt:lpstr>
      <vt:lpstr>Agreement Pricing</vt:lpstr>
      <vt:lpstr>SA Field Supervisor Pay</vt:lpstr>
    </vt:vector>
  </TitlesOfParts>
  <Company>Air Solutions Heating &amp; A/C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Jennifer Melendez</cp:lastModifiedBy>
  <cp:lastPrinted>2017-07-20T23:13:58Z</cp:lastPrinted>
  <dcterms:created xsi:type="dcterms:W3CDTF">2001-03-20T16:49:10Z</dcterms:created>
  <dcterms:modified xsi:type="dcterms:W3CDTF">2017-07-20T23:16:14Z</dcterms:modified>
</cp:coreProperties>
</file>