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40" windowWidth="11325" windowHeight="6465" firstSheet="4" activeTab="4"/>
  </bookViews>
  <sheets>
    <sheet name="Supreme System Pricing" sheetId="1" r:id="rId1"/>
    <sheet name="Premium System Prices" sheetId="2" r:id="rId2"/>
    <sheet name="Deluxe System Prices" sheetId="3" r:id="rId3"/>
    <sheet name="Standard System Prices" sheetId="4" r:id="rId4"/>
    <sheet name="Sweet 16 Promo" sheetId="5" r:id="rId5"/>
  </sheets>
  <definedNames>
    <definedName name="_xlnm.Print_Area" localSheetId="0">'Supreme System Pricing'!$B$4:$K$69</definedName>
  </definedNames>
  <calcPr fullCalcOnLoad="1"/>
</workbook>
</file>

<file path=xl/sharedStrings.xml><?xml version="1.0" encoding="utf-8"?>
<sst xmlns="http://schemas.openxmlformats.org/spreadsheetml/2006/main" count="492" uniqueCount="136">
  <si>
    <t>Flex Duct and or Bvent Materials</t>
  </si>
  <si>
    <t>PVC Piping &amp; Zone Dampers and Controls</t>
  </si>
  <si>
    <r>
      <t xml:space="preserve">Furnace </t>
    </r>
    <r>
      <rPr>
        <sz val="14"/>
        <color indexed="12"/>
        <rFont val="Times New Roman"/>
        <family val="1"/>
      </rPr>
      <t>58MXA 90 % Standard AFUE</t>
    </r>
  </si>
  <si>
    <r>
      <t xml:space="preserve">Condenser </t>
    </r>
    <r>
      <rPr>
        <sz val="14"/>
        <color indexed="12"/>
        <rFont val="Times New Roman"/>
        <family val="1"/>
      </rPr>
      <t xml:space="preserve">10 SEER </t>
    </r>
  </si>
  <si>
    <r>
      <t xml:space="preserve">Furnace </t>
    </r>
    <r>
      <rPr>
        <sz val="14"/>
        <color indexed="12"/>
        <rFont val="Times New Roman"/>
        <family val="1"/>
      </rPr>
      <t>90 % Standard AFUE</t>
    </r>
  </si>
  <si>
    <t>PVC Vent Pipe &amp; / or Bvent Materials</t>
  </si>
  <si>
    <t>Overflow Drain Pan and Drain Materials</t>
  </si>
  <si>
    <t>Carrier 90 AFUE with 10 SEER</t>
  </si>
  <si>
    <r>
      <t xml:space="preserve">Condenser </t>
    </r>
    <r>
      <rPr>
        <sz val="14"/>
        <color indexed="12"/>
        <rFont val="Times New Roman"/>
        <family val="1"/>
      </rPr>
      <t>38TZ 10 SEER R22 System</t>
    </r>
  </si>
  <si>
    <t>IAQ Equipment - Humidifer and High Eff. Media Filter</t>
  </si>
  <si>
    <t>IAQ Equipment - Humidifier/High Eff. Medi/Air Purification</t>
  </si>
  <si>
    <t>10 Yr Parts/Labor, 3 Yr Service Agreement/Full IAQ Package/HEPPA FILTER AIR EXCHANGE/ZONING SYSTEM/ ALL 5 CUSTOMER TRUST GUARANTEES</t>
  </si>
  <si>
    <t>5 Yr Parts/Labor, 1 Yr Service Agreement/Deluxe IAQ Package / 4 CUSTOMER TRUST GUARANTEES</t>
  </si>
  <si>
    <t>10 Yr Parts/Labor, 2 Yr Service Agreement/Premium IAQ Package /  4 CUSTOMER TRUST GUARANTEES</t>
  </si>
  <si>
    <t>5 Yr Parts - 5 yr labor- / Basic IAQ Package / 100% - Quality - Performance</t>
  </si>
  <si>
    <t>Warr. Reserve</t>
  </si>
  <si>
    <t>Total Other Direct Cost</t>
  </si>
  <si>
    <t>Actual Gross Profit</t>
  </si>
  <si>
    <t>Add on Items</t>
  </si>
  <si>
    <t>Refergerant Charges</t>
  </si>
  <si>
    <t>Sub Total materials</t>
  </si>
  <si>
    <t>Overflow Drain Pan</t>
  </si>
  <si>
    <t>Thermostat</t>
  </si>
  <si>
    <t>Condenser Pad</t>
  </si>
  <si>
    <t>Refrigerant Lines</t>
  </si>
  <si>
    <t>Subcontractor</t>
  </si>
  <si>
    <t>Labor fringe @ 24 %</t>
  </si>
  <si>
    <t>Other direct cost</t>
  </si>
  <si>
    <t>Electic Heat / LP Kit</t>
  </si>
  <si>
    <t xml:space="preserve">Miscellaneous </t>
  </si>
  <si>
    <t>Desired Net Profit %</t>
  </si>
  <si>
    <t>Net Profit % Second Drop</t>
  </si>
  <si>
    <t>Net Profit % First Drop</t>
  </si>
  <si>
    <t>Net Profit % Retail Price</t>
  </si>
  <si>
    <t>Buydown - Dollar Amount</t>
  </si>
  <si>
    <t>Permit</t>
  </si>
  <si>
    <t>Gross Profit in Dollars</t>
  </si>
  <si>
    <t>Bottom Line Commission %</t>
  </si>
  <si>
    <t>Coil / Air Handler</t>
  </si>
  <si>
    <t>Sub-Total Equipment</t>
  </si>
  <si>
    <t>Total Material</t>
  </si>
  <si>
    <t>Electrical</t>
  </si>
  <si>
    <t>Sheet Metal</t>
  </si>
  <si>
    <t>Hours</t>
  </si>
  <si>
    <t>Avg Rate</t>
  </si>
  <si>
    <t>Overtime</t>
  </si>
  <si>
    <t>Delivery &amp; Staging</t>
  </si>
  <si>
    <t>Shop Labor</t>
  </si>
  <si>
    <t>Total Labor</t>
  </si>
  <si>
    <t>Commission Expense</t>
  </si>
  <si>
    <t>1 TON</t>
  </si>
  <si>
    <t>2 TON</t>
  </si>
  <si>
    <t>3 TON</t>
  </si>
  <si>
    <t>2.5 TON</t>
  </si>
  <si>
    <t>3.5 TON</t>
  </si>
  <si>
    <t>4 TON</t>
  </si>
  <si>
    <t>5 TON</t>
  </si>
  <si>
    <t>Make</t>
  </si>
  <si>
    <t>Model</t>
  </si>
  <si>
    <t>Actual Gross Profit % Bottom Line</t>
  </si>
  <si>
    <t>Net Profit on Bottom Line</t>
  </si>
  <si>
    <t>Net Profit % on Bottom Line</t>
  </si>
  <si>
    <t>Equipment % Bottom Line</t>
  </si>
  <si>
    <t>Parts/Material % Bottom Line</t>
  </si>
  <si>
    <t>Direct Labor % Bottom Line</t>
  </si>
  <si>
    <t>Tax Rate and Applicable Tax Dollars</t>
  </si>
  <si>
    <t>Total Equipment Costs</t>
  </si>
  <si>
    <t>Total Labor Hours / Cost Per Hour- No Benefits</t>
  </si>
  <si>
    <t>Enter Overhead Figure - Desired SG&amp;A %</t>
  </si>
  <si>
    <t>Gross Margin % (Overhead + Commission + Profit)</t>
  </si>
  <si>
    <t>Total Costs</t>
  </si>
  <si>
    <t>Sub-Total of Sale before Extras (Using Divisor)</t>
  </si>
  <si>
    <t>Service Agreement/Ext. Warr. Price (no added Markups)</t>
  </si>
  <si>
    <t>Total SG&amp;A Expenses - Allocated to this work</t>
  </si>
  <si>
    <t>First Drop 5% Discount (Shared Pain Commissions)</t>
  </si>
  <si>
    <t>Second Drop 5% Discount (Shared Pain Commissions)</t>
  </si>
  <si>
    <t>Bottom Line Sales Price (Shared Pain Commissions)</t>
  </si>
  <si>
    <t>Retail Price (Commissions at Full Rates)</t>
  </si>
  <si>
    <t xml:space="preserve">Condenser </t>
  </si>
  <si>
    <r>
      <t xml:space="preserve">Furnace </t>
    </r>
    <r>
      <rPr>
        <sz val="14"/>
        <color indexed="12"/>
        <rFont val="Times New Roman"/>
        <family val="1"/>
      </rPr>
      <t xml:space="preserve"> </t>
    </r>
  </si>
  <si>
    <t xml:space="preserve">Coil / Air Handler   </t>
  </si>
  <si>
    <t xml:space="preserve">Condenser - </t>
  </si>
  <si>
    <r>
      <t>Furnace</t>
    </r>
    <r>
      <rPr>
        <sz val="14"/>
        <color indexed="12"/>
        <rFont val="Times New Roman"/>
        <family val="1"/>
      </rPr>
      <t xml:space="preserve"> </t>
    </r>
  </si>
  <si>
    <t>with Lower Priced Version of Equipment</t>
  </si>
  <si>
    <t>Condenser</t>
  </si>
  <si>
    <t xml:space="preserve">Furnace </t>
  </si>
  <si>
    <t>With 12 SEER System</t>
  </si>
  <si>
    <t>Furnace</t>
  </si>
  <si>
    <t>Replacement System Pricing - Divisor Method of Pricing</t>
  </si>
  <si>
    <t>Supreme System Prices</t>
  </si>
  <si>
    <t>Premium System Prices</t>
  </si>
  <si>
    <t>Deluxe System Prices</t>
  </si>
  <si>
    <t>Ratio of Gross Margin Dollars to Labor Dollars</t>
  </si>
  <si>
    <t>Miscellaneous - Zoning Dampers or Zone Controls</t>
  </si>
  <si>
    <t>IAQ Equipment - Filtration, Humidifier, Air Purifier</t>
  </si>
  <si>
    <t>Buydown Budget Amount</t>
  </si>
  <si>
    <t>Add on Items - Heppa Filtration</t>
  </si>
  <si>
    <t>Standard System Prices</t>
  </si>
  <si>
    <t>Refrigerant Charges</t>
  </si>
  <si>
    <t>IAQ Equipment - Humidifier/Air Purifier/High Eff Filter</t>
  </si>
  <si>
    <t>Add on Items - HEPPA</t>
  </si>
  <si>
    <t>Thermostat - zoning</t>
  </si>
  <si>
    <t>16 SEER 2 Stage with 80% V Air Handler</t>
  </si>
  <si>
    <t xml:space="preserve">16 SEER 2 Stage Amana </t>
  </si>
  <si>
    <t>80 % AFUE Variable Speed Furnace</t>
  </si>
  <si>
    <t>Materials including Stat</t>
  </si>
  <si>
    <t>Subcontractors - Crane</t>
  </si>
  <si>
    <t>Financing Costs Buydown</t>
  </si>
  <si>
    <t xml:space="preserve">11-16 Warranty Costs </t>
  </si>
  <si>
    <t xml:space="preserve">Cash DEBIT CARD </t>
  </si>
  <si>
    <t>Purchased Supplier Extended Warranty 1-10 Years</t>
  </si>
  <si>
    <t xml:space="preserve">   Copper</t>
  </si>
  <si>
    <t xml:space="preserve">   Pad</t>
  </si>
  <si>
    <t xml:space="preserve">   Stat</t>
  </si>
  <si>
    <t xml:space="preserve">   Return/Supply </t>
  </si>
  <si>
    <t>16 Year Parts and Labor</t>
  </si>
  <si>
    <t>Replacement System Pricing - Breakeven and Analysis of GP Per Man Day Pricing</t>
  </si>
  <si>
    <t xml:space="preserve">Added 3 Year Service Agreement </t>
  </si>
  <si>
    <t>Enter Overhead Per Day Dollars</t>
  </si>
  <si>
    <t>Warr. Reserve for Company 1-30 Days</t>
  </si>
  <si>
    <t>Total Other Costs</t>
  </si>
  <si>
    <t>Total Labor Costs on Estimate</t>
  </si>
  <si>
    <t xml:space="preserve">   Breaker/Fuse/Disconnect</t>
  </si>
  <si>
    <t>Sub Total Materials</t>
  </si>
  <si>
    <t>Sub Total Breakeven on Job</t>
  </si>
  <si>
    <t>Job Price Tendered to Consumer</t>
  </si>
  <si>
    <t>Bottom Line Commission - SET DOLLAR FIGURE</t>
  </si>
  <si>
    <t>Coil - Evaporator Upflow</t>
  </si>
  <si>
    <t>Additional Items You May Want to Add</t>
  </si>
  <si>
    <t>Gross Profit on this Job is:</t>
  </si>
  <si>
    <t>Gross Profit per Crew Day on Job is:</t>
  </si>
  <si>
    <t>Desired Net Profit -ADD in DOLLARS</t>
  </si>
  <si>
    <t>Net Profit % on this job is:</t>
  </si>
  <si>
    <t>Labor fringe @ 30 %</t>
  </si>
  <si>
    <t>1 Add - IAQ ACCESSORY - of CHOICE</t>
  </si>
  <si>
    <t>Total Labor - WE USE TASK - FIXED RATE SPECIALPAY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</si>
</sst>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&quot;$&quot;#,##0.000_);\(&quot;$&quot;#,##0.000\)"/>
    <numFmt numFmtId="170" formatCode="&quot;$&quot;#,##0.0_);\(&quot;$&quot;#,##0.0\)"/>
    <numFmt numFmtId="171" formatCode="_(&quot;$&quot;* #,##0.000_);_(&quot;$&quot;* \(#,##0.000\);_(&quot;$&quot;* &quot;-&quot;??_);_(@_)"/>
    <numFmt numFmtId="172" formatCode="0.0%"/>
    <numFmt numFmtId="173" formatCode="0_);\(0\)"/>
    <numFmt numFmtId="174" formatCode="#,##0.0_);\(#,##0.0\)"/>
    <numFmt numFmtId="175" formatCode="0.0000%"/>
    <numFmt numFmtId="176" formatCode="&quot;$&quot;#,##0"/>
    <numFmt numFmtId="177" formatCode="0.0000"/>
    <numFmt numFmtId="178" formatCode="_(&quot;$&quot;* #,##0.0000_);_(&quot;$&quot;* \(#,##0.0000\);_(&quot;$&quot;* &quot;-&quot;??_);_(@_)"/>
    <numFmt numFmtId="179" formatCode="_(* #,##0.0_);_(* \(#,##0.0\);_(* &quot;-&quot;?_);_(@_)"/>
    <numFmt numFmtId="180" formatCode="0.000%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"/>
    <numFmt numFmtId="188" formatCode="0.0"/>
    <numFmt numFmtId="189" formatCode="_(&quot;$&quot;* #,##0.0_);_(&quot;$&quot;* \(#,##0.0\);_(&quot;$&quot;* &quot;-&quot;?_);_(@_)"/>
  </numFmts>
  <fonts count="77">
    <font>
      <sz val="10"/>
      <name val="Arial"/>
      <family val="0"/>
    </font>
    <font>
      <b/>
      <sz val="10"/>
      <name val="Arial"/>
      <family val="0"/>
    </font>
    <font>
      <b/>
      <sz val="10"/>
      <color indexed="56"/>
      <name val="Arial"/>
      <family val="2"/>
    </font>
    <font>
      <b/>
      <sz val="10"/>
      <name val="Helv"/>
      <family val="0"/>
    </font>
    <font>
      <b/>
      <sz val="10"/>
      <color indexed="56"/>
      <name val="Helv"/>
      <family val="0"/>
    </font>
    <font>
      <b/>
      <sz val="10"/>
      <color indexed="58"/>
      <name val="Helv"/>
      <family val="0"/>
    </font>
    <font>
      <b/>
      <sz val="2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name val="Helv"/>
      <family val="0"/>
    </font>
    <font>
      <b/>
      <sz val="14"/>
      <color indexed="8"/>
      <name val="Arial"/>
      <family val="2"/>
    </font>
    <font>
      <b/>
      <sz val="14"/>
      <color indexed="8"/>
      <name val="Helv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Times New Roman"/>
      <family val="1"/>
    </font>
    <font>
      <b/>
      <sz val="10"/>
      <color indexed="63"/>
      <name val="Helv"/>
      <family val="0"/>
    </font>
    <font>
      <b/>
      <sz val="16"/>
      <color indexed="49"/>
      <name val="Arial"/>
      <family val="2"/>
    </font>
    <font>
      <b/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0"/>
      <color rgb="FF404040"/>
      <name val="Arial"/>
      <family val="2"/>
    </font>
    <font>
      <b/>
      <sz val="10"/>
      <color rgb="FF404040"/>
      <name val="Arial"/>
      <family val="2"/>
    </font>
    <font>
      <b/>
      <sz val="12"/>
      <color rgb="FF404040"/>
      <name val="Arial"/>
      <family val="2"/>
    </font>
    <font>
      <b/>
      <sz val="14"/>
      <color rgb="FF404040"/>
      <name val="Times New Roman"/>
      <family val="1"/>
    </font>
    <font>
      <b/>
      <sz val="10"/>
      <color rgb="FF404040"/>
      <name val="Helv"/>
      <family val="0"/>
    </font>
    <font>
      <b/>
      <sz val="16"/>
      <color rgb="FF3C94DC"/>
      <name val="Arial"/>
      <family val="2"/>
    </font>
    <font>
      <b/>
      <sz val="12"/>
      <color rgb="FF3C94DC"/>
      <name val="Arial"/>
      <family val="2"/>
    </font>
    <font>
      <b/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94DC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FFE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5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>
      <alignment/>
    </xf>
    <xf numFmtId="44" fontId="1" fillId="33" borderId="10" xfId="44" applyFont="1" applyFill="1" applyBorder="1" applyAlignment="1" applyProtection="1">
      <alignment horizontal="left"/>
      <protection/>
    </xf>
    <xf numFmtId="44" fontId="1" fillId="33" borderId="10" xfId="44" applyFont="1" applyFill="1" applyBorder="1" applyAlignment="1" applyProtection="1">
      <alignment horizontal="left"/>
      <protection/>
    </xf>
    <xf numFmtId="44" fontId="1" fillId="0" borderId="0" xfId="44" applyFont="1" applyAlignment="1" applyProtection="1">
      <alignment/>
      <protection/>
    </xf>
    <xf numFmtId="44" fontId="1" fillId="0" borderId="0" xfId="44" applyFont="1" applyAlignment="1">
      <alignment/>
    </xf>
    <xf numFmtId="164" fontId="1" fillId="0" borderId="0" xfId="44" applyNumberFormat="1" applyFont="1" applyAlignment="1" applyProtection="1">
      <alignment/>
      <protection/>
    </xf>
    <xf numFmtId="164" fontId="1" fillId="0" borderId="0" xfId="44" applyNumberFormat="1" applyFont="1" applyAlignment="1">
      <alignment/>
    </xf>
    <xf numFmtId="44" fontId="1" fillId="33" borderId="10" xfId="44" applyFont="1" applyFill="1" applyBorder="1" applyAlignment="1">
      <alignment/>
    </xf>
    <xf numFmtId="0" fontId="1" fillId="33" borderId="12" xfId="0" applyFont="1" applyFill="1" applyBorder="1" applyAlignment="1" applyProtection="1">
      <alignment horizontal="left"/>
      <protection/>
    </xf>
    <xf numFmtId="44" fontId="1" fillId="33" borderId="12" xfId="44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/>
    </xf>
    <xf numFmtId="0" fontId="7" fillId="33" borderId="14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left"/>
      <protection/>
    </xf>
    <xf numFmtId="5" fontId="7" fillId="0" borderId="0" xfId="0" applyNumberFormat="1" applyFont="1" applyAlignment="1" applyProtection="1">
      <alignment/>
      <protection/>
    </xf>
    <xf numFmtId="0" fontId="7" fillId="33" borderId="16" xfId="0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5" fontId="7" fillId="0" borderId="17" xfId="0" applyNumberFormat="1" applyFont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7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left"/>
      <protection/>
    </xf>
    <xf numFmtId="44" fontId="1" fillId="33" borderId="22" xfId="44" applyFont="1" applyFill="1" applyBorder="1" applyAlignment="1" applyProtection="1">
      <alignment horizontal="left"/>
      <protection/>
    </xf>
    <xf numFmtId="0" fontId="7" fillId="33" borderId="23" xfId="0" applyFont="1" applyFill="1" applyBorder="1" applyAlignment="1" applyProtection="1">
      <alignment horizontal="left"/>
      <protection/>
    </xf>
    <xf numFmtId="0" fontId="1" fillId="33" borderId="24" xfId="0" applyFont="1" applyFill="1" applyBorder="1" applyAlignment="1" applyProtection="1">
      <alignment horizontal="left"/>
      <protection/>
    </xf>
    <xf numFmtId="44" fontId="1" fillId="33" borderId="25" xfId="44" applyFont="1" applyFill="1" applyBorder="1" applyAlignment="1" applyProtection="1">
      <alignment horizontal="left"/>
      <protection/>
    </xf>
    <xf numFmtId="5" fontId="8" fillId="0" borderId="20" xfId="0" applyNumberFormat="1" applyFont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/>
    </xf>
    <xf numFmtId="44" fontId="1" fillId="33" borderId="26" xfId="44" applyFont="1" applyFill="1" applyBorder="1" applyAlignment="1" applyProtection="1">
      <alignment horizontal="left"/>
      <protection/>
    </xf>
    <xf numFmtId="44" fontId="1" fillId="33" borderId="25" xfId="44" applyFont="1" applyFill="1" applyBorder="1" applyAlignment="1" applyProtection="1">
      <alignment horizontal="left"/>
      <protection/>
    </xf>
    <xf numFmtId="164" fontId="2" fillId="33" borderId="22" xfId="44" applyNumberFormat="1" applyFont="1" applyFill="1" applyBorder="1" applyAlignment="1" applyProtection="1">
      <alignment/>
      <protection/>
    </xf>
    <xf numFmtId="164" fontId="2" fillId="33" borderId="27" xfId="44" applyNumberFormat="1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 horizontal="left"/>
      <protection/>
    </xf>
    <xf numFmtId="164" fontId="2" fillId="34" borderId="25" xfId="44" applyNumberFormat="1" applyFont="1" applyFill="1" applyBorder="1" applyAlignment="1" applyProtection="1">
      <alignment/>
      <protection/>
    </xf>
    <xf numFmtId="164" fontId="2" fillId="34" borderId="10" xfId="44" applyNumberFormat="1" applyFont="1" applyFill="1" applyBorder="1" applyAlignment="1" applyProtection="1">
      <alignment/>
      <protection/>
    </xf>
    <xf numFmtId="164" fontId="2" fillId="34" borderId="26" xfId="44" applyNumberFormat="1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9" fillId="35" borderId="22" xfId="0" applyFont="1" applyFill="1" applyBorder="1" applyAlignment="1" applyProtection="1">
      <alignment horizontal="center"/>
      <protection/>
    </xf>
    <xf numFmtId="0" fontId="9" fillId="35" borderId="28" xfId="0" applyFont="1" applyFill="1" applyBorder="1" applyAlignment="1" applyProtection="1">
      <alignment horizontal="center"/>
      <protection/>
    </xf>
    <xf numFmtId="0" fontId="9" fillId="35" borderId="29" xfId="0" applyFont="1" applyFill="1" applyBorder="1" applyAlignment="1" applyProtection="1">
      <alignment horizontal="center"/>
      <protection/>
    </xf>
    <xf numFmtId="0" fontId="9" fillId="35" borderId="30" xfId="0" applyFont="1" applyFill="1" applyBorder="1" applyAlignment="1" applyProtection="1">
      <alignment horizontal="center"/>
      <protection/>
    </xf>
    <xf numFmtId="0" fontId="8" fillId="36" borderId="20" xfId="0" applyFont="1" applyFill="1" applyBorder="1" applyAlignment="1" applyProtection="1">
      <alignment horizontal="left"/>
      <protection/>
    </xf>
    <xf numFmtId="0" fontId="10" fillId="36" borderId="21" xfId="0" applyFont="1" applyFill="1" applyBorder="1" applyAlignment="1" applyProtection="1">
      <alignment horizontal="left"/>
      <protection/>
    </xf>
    <xf numFmtId="0" fontId="12" fillId="36" borderId="21" xfId="0" applyFont="1" applyFill="1" applyBorder="1" applyAlignment="1" applyProtection="1">
      <alignment horizontal="left"/>
      <protection/>
    </xf>
    <xf numFmtId="44" fontId="12" fillId="36" borderId="22" xfId="44" applyFont="1" applyFill="1" applyBorder="1" applyAlignment="1" applyProtection="1">
      <alignment horizontal="left"/>
      <protection/>
    </xf>
    <xf numFmtId="164" fontId="13" fillId="36" borderId="22" xfId="44" applyNumberFormat="1" applyFont="1" applyFill="1" applyBorder="1" applyAlignment="1" applyProtection="1">
      <alignment/>
      <protection/>
    </xf>
    <xf numFmtId="164" fontId="13" fillId="36" borderId="27" xfId="44" applyNumberFormat="1" applyFont="1" applyFill="1" applyBorder="1" applyAlignment="1" applyProtection="1">
      <alignment/>
      <protection/>
    </xf>
    <xf numFmtId="164" fontId="1" fillId="34" borderId="10" xfId="44" applyNumberFormat="1" applyFont="1" applyFill="1" applyBorder="1" applyAlignment="1" applyProtection="1">
      <alignment/>
      <protection/>
    </xf>
    <xf numFmtId="164" fontId="1" fillId="34" borderId="10" xfId="44" applyNumberFormat="1" applyFont="1" applyFill="1" applyBorder="1" applyAlignment="1">
      <alignment/>
    </xf>
    <xf numFmtId="164" fontId="3" fillId="33" borderId="10" xfId="44" applyNumberFormat="1" applyFont="1" applyFill="1" applyBorder="1" applyAlignment="1" applyProtection="1">
      <alignment/>
      <protection/>
    </xf>
    <xf numFmtId="164" fontId="11" fillId="36" borderId="22" xfId="44" applyNumberFormat="1" applyFont="1" applyFill="1" applyBorder="1" applyAlignment="1" applyProtection="1">
      <alignment/>
      <protection/>
    </xf>
    <xf numFmtId="164" fontId="11" fillId="36" borderId="27" xfId="44" applyNumberFormat="1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 horizontal="left"/>
      <protection/>
    </xf>
    <xf numFmtId="44" fontId="1" fillId="36" borderId="22" xfId="44" applyFont="1" applyFill="1" applyBorder="1" applyAlignment="1" applyProtection="1" quotePrefix="1">
      <alignment horizontal="left"/>
      <protection/>
    </xf>
    <xf numFmtId="44" fontId="1" fillId="33" borderId="26" xfId="44" applyFont="1" applyFill="1" applyBorder="1" applyAlignment="1">
      <alignment/>
    </xf>
    <xf numFmtId="164" fontId="1" fillId="34" borderId="26" xfId="44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0" fontId="1" fillId="34" borderId="31" xfId="59" applyNumberFormat="1" applyFont="1" applyFill="1" applyBorder="1" applyAlignment="1">
      <alignment/>
    </xf>
    <xf numFmtId="164" fontId="5" fillId="33" borderId="31" xfId="44" applyNumberFormat="1" applyFont="1" applyFill="1" applyBorder="1" applyAlignment="1" applyProtection="1">
      <alignment/>
      <protection/>
    </xf>
    <xf numFmtId="164" fontId="1" fillId="33" borderId="22" xfId="44" applyNumberFormat="1" applyFont="1" applyFill="1" applyBorder="1" applyAlignment="1" applyProtection="1">
      <alignment/>
      <protection/>
    </xf>
    <xf numFmtId="164" fontId="1" fillId="33" borderId="27" xfId="44" applyNumberFormat="1" applyFont="1" applyFill="1" applyBorder="1" applyAlignment="1" applyProtection="1">
      <alignment/>
      <protection/>
    </xf>
    <xf numFmtId="164" fontId="5" fillId="33" borderId="32" xfId="44" applyNumberFormat="1" applyFont="1" applyFill="1" applyBorder="1" applyAlignment="1" applyProtection="1">
      <alignment/>
      <protection/>
    </xf>
    <xf numFmtId="44" fontId="1" fillId="33" borderId="26" xfId="44" applyFont="1" applyFill="1" applyBorder="1" applyAlignment="1" applyProtection="1">
      <alignment horizontal="left"/>
      <protection/>
    </xf>
    <xf numFmtId="0" fontId="7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10" fontId="1" fillId="34" borderId="35" xfId="59" applyNumberFormat="1" applyFont="1" applyFill="1" applyBorder="1" applyAlignment="1">
      <alignment/>
    </xf>
    <xf numFmtId="164" fontId="4" fillId="33" borderId="35" xfId="44" applyNumberFormat="1" applyFont="1" applyFill="1" applyBorder="1" applyAlignment="1" applyProtection="1">
      <alignment/>
      <protection/>
    </xf>
    <xf numFmtId="164" fontId="4" fillId="33" borderId="36" xfId="44" applyNumberFormat="1" applyFont="1" applyFill="1" applyBorder="1" applyAlignment="1" applyProtection="1">
      <alignment/>
      <protection/>
    </xf>
    <xf numFmtId="164" fontId="1" fillId="33" borderId="10" xfId="44" applyNumberFormat="1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44" fontId="1" fillId="34" borderId="10" xfId="44" applyFont="1" applyFill="1" applyBorder="1" applyAlignment="1" applyProtection="1">
      <alignment/>
      <protection/>
    </xf>
    <xf numFmtId="44" fontId="1" fillId="33" borderId="10" xfId="44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/>
      <protection/>
    </xf>
    <xf numFmtId="44" fontId="1" fillId="34" borderId="25" xfId="44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 horizontal="left"/>
      <protection/>
    </xf>
    <xf numFmtId="44" fontId="1" fillId="33" borderId="20" xfId="44" applyFont="1" applyFill="1" applyBorder="1" applyAlignment="1" applyProtection="1">
      <alignment horizontal="left"/>
      <protection/>
    </xf>
    <xf numFmtId="164" fontId="3" fillId="34" borderId="10" xfId="44" applyNumberFormat="1" applyFont="1" applyFill="1" applyBorder="1" applyAlignment="1" applyProtection="1">
      <alignment/>
      <protection/>
    </xf>
    <xf numFmtId="10" fontId="1" fillId="34" borderId="10" xfId="0" applyNumberFormat="1" applyFont="1" applyFill="1" applyBorder="1" applyAlignment="1">
      <alignment/>
    </xf>
    <xf numFmtId="0" fontId="1" fillId="33" borderId="25" xfId="0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1" fillId="33" borderId="31" xfId="0" applyFont="1" applyFill="1" applyBorder="1" applyAlignment="1" applyProtection="1">
      <alignment horizontal="left"/>
      <protection/>
    </xf>
    <xf numFmtId="9" fontId="1" fillId="33" borderId="31" xfId="0" applyNumberFormat="1" applyFont="1" applyFill="1" applyBorder="1" applyAlignment="1" applyProtection="1">
      <alignment/>
      <protection/>
    </xf>
    <xf numFmtId="0" fontId="10" fillId="36" borderId="22" xfId="0" applyFont="1" applyFill="1" applyBorder="1" applyAlignment="1" applyProtection="1">
      <alignment horizontal="left"/>
      <protection/>
    </xf>
    <xf numFmtId="37" fontId="10" fillId="36" borderId="22" xfId="0" applyNumberFormat="1" applyFont="1" applyFill="1" applyBorder="1" applyAlignment="1" applyProtection="1">
      <alignment/>
      <protection/>
    </xf>
    <xf numFmtId="37" fontId="10" fillId="36" borderId="27" xfId="0" applyNumberFormat="1" applyFont="1" applyFill="1" applyBorder="1" applyAlignment="1" applyProtection="1">
      <alignment/>
      <protection/>
    </xf>
    <xf numFmtId="0" fontId="10" fillId="36" borderId="38" xfId="0" applyFont="1" applyFill="1" applyBorder="1" applyAlignment="1" applyProtection="1">
      <alignment horizontal="left"/>
      <protection/>
    </xf>
    <xf numFmtId="0" fontId="10" fillId="36" borderId="21" xfId="0" applyFont="1" applyFill="1" applyBorder="1" applyAlignment="1" applyProtection="1" quotePrefix="1">
      <alignment horizontal="left"/>
      <protection/>
    </xf>
    <xf numFmtId="37" fontId="1" fillId="33" borderId="25" xfId="0" applyNumberFormat="1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left"/>
      <protection/>
    </xf>
    <xf numFmtId="0" fontId="1" fillId="33" borderId="40" xfId="0" applyFont="1" applyFill="1" applyBorder="1" applyAlignment="1" applyProtection="1">
      <alignment horizontal="left"/>
      <protection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37" fontId="1" fillId="33" borderId="0" xfId="0" applyNumberFormat="1" applyFont="1" applyFill="1" applyBorder="1" applyAlignment="1" applyProtection="1">
      <alignment/>
      <protection/>
    </xf>
    <xf numFmtId="9" fontId="1" fillId="33" borderId="32" xfId="0" applyNumberFormat="1" applyFont="1" applyFill="1" applyBorder="1" applyAlignment="1" applyProtection="1">
      <alignment/>
      <protection/>
    </xf>
    <xf numFmtId="37" fontId="1" fillId="33" borderId="43" xfId="0" applyNumberFormat="1" applyFont="1" applyFill="1" applyBorder="1" applyAlignment="1" applyProtection="1">
      <alignment/>
      <protection/>
    </xf>
    <xf numFmtId="0" fontId="1" fillId="33" borderId="41" xfId="0" applyFont="1" applyFill="1" applyBorder="1" applyAlignment="1" applyProtection="1">
      <alignment horizontal="left"/>
      <protection/>
    </xf>
    <xf numFmtId="0" fontId="1" fillId="33" borderId="42" xfId="0" applyFont="1" applyFill="1" applyBorder="1" applyAlignment="1" applyProtection="1">
      <alignment horizontal="left"/>
      <protection/>
    </xf>
    <xf numFmtId="37" fontId="1" fillId="34" borderId="42" xfId="0" applyNumberFormat="1" applyFont="1" applyFill="1" applyBorder="1" applyAlignment="1" applyProtection="1">
      <alignment/>
      <protection/>
    </xf>
    <xf numFmtId="37" fontId="1" fillId="34" borderId="44" xfId="0" applyNumberFormat="1" applyFont="1" applyFill="1" applyBorder="1" applyAlignment="1" applyProtection="1">
      <alignment/>
      <protection/>
    </xf>
    <xf numFmtId="0" fontId="10" fillId="36" borderId="39" xfId="0" applyFont="1" applyFill="1" applyBorder="1" applyAlignment="1" applyProtection="1">
      <alignment horizontal="left"/>
      <protection/>
    </xf>
    <xf numFmtId="0" fontId="10" fillId="36" borderId="40" xfId="0" applyFont="1" applyFill="1" applyBorder="1" applyAlignment="1" applyProtection="1">
      <alignment horizontal="left"/>
      <protection/>
    </xf>
    <xf numFmtId="37" fontId="10" fillId="36" borderId="40" xfId="44" applyNumberFormat="1" applyFont="1" applyFill="1" applyBorder="1" applyAlignment="1" applyProtection="1">
      <alignment/>
      <protection/>
    </xf>
    <xf numFmtId="37" fontId="10" fillId="36" borderId="45" xfId="44" applyNumberFormat="1" applyFont="1" applyFill="1" applyBorder="1" applyAlignment="1" applyProtection="1">
      <alignment/>
      <protection/>
    </xf>
    <xf numFmtId="0" fontId="10" fillId="36" borderId="11" xfId="0" applyFont="1" applyFill="1" applyBorder="1" applyAlignment="1" applyProtection="1">
      <alignment horizontal="left"/>
      <protection/>
    </xf>
    <xf numFmtId="0" fontId="10" fillId="36" borderId="10" xfId="0" applyFont="1" applyFill="1" applyBorder="1" applyAlignment="1" applyProtection="1">
      <alignment horizontal="left"/>
      <protection/>
    </xf>
    <xf numFmtId="37" fontId="10" fillId="36" borderId="10" xfId="44" applyNumberFormat="1" applyFont="1" applyFill="1" applyBorder="1" applyAlignment="1" applyProtection="1">
      <alignment/>
      <protection/>
    </xf>
    <xf numFmtId="37" fontId="10" fillId="36" borderId="46" xfId="44" applyNumberFormat="1" applyFont="1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 horizontal="left"/>
      <protection/>
    </xf>
    <xf numFmtId="37" fontId="10" fillId="36" borderId="42" xfId="44" applyNumberFormat="1" applyFont="1" applyFill="1" applyBorder="1" applyAlignment="1">
      <alignment/>
    </xf>
    <xf numFmtId="37" fontId="10" fillId="36" borderId="44" xfId="44" applyNumberFormat="1" applyFont="1" applyFill="1" applyBorder="1" applyAlignment="1">
      <alignment/>
    </xf>
    <xf numFmtId="0" fontId="10" fillId="36" borderId="41" xfId="0" applyFont="1" applyFill="1" applyBorder="1" applyAlignment="1">
      <alignment/>
    </xf>
    <xf numFmtId="0" fontId="10" fillId="36" borderId="42" xfId="0" applyFont="1" applyFill="1" applyBorder="1" applyAlignment="1">
      <alignment/>
    </xf>
    <xf numFmtId="0" fontId="8" fillId="36" borderId="16" xfId="0" applyFont="1" applyFill="1" applyBorder="1" applyAlignment="1" applyProtection="1">
      <alignment horizontal="left"/>
      <protection/>
    </xf>
    <xf numFmtId="0" fontId="8" fillId="36" borderId="14" xfId="0" applyFont="1" applyFill="1" applyBorder="1" applyAlignment="1" applyProtection="1">
      <alignment horizontal="left"/>
      <protection/>
    </xf>
    <xf numFmtId="0" fontId="8" fillId="36" borderId="15" xfId="0" applyFont="1" applyFill="1" applyBorder="1" applyAlignment="1">
      <alignment/>
    </xf>
    <xf numFmtId="9" fontId="1" fillId="33" borderId="10" xfId="59" applyFont="1" applyFill="1" applyBorder="1" applyAlignment="1">
      <alignment/>
    </xf>
    <xf numFmtId="2" fontId="1" fillId="33" borderId="10" xfId="0" applyNumberFormat="1" applyFont="1" applyFill="1" applyBorder="1" applyAlignment="1" applyProtection="1">
      <alignment/>
      <protection/>
    </xf>
    <xf numFmtId="37" fontId="1" fillId="34" borderId="10" xfId="0" applyNumberFormat="1" applyFont="1" applyFill="1" applyBorder="1" applyAlignment="1">
      <alignment/>
    </xf>
    <xf numFmtId="37" fontId="1" fillId="33" borderId="1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37" fontId="1" fillId="33" borderId="40" xfId="0" applyNumberFormat="1" applyFont="1" applyFill="1" applyBorder="1" applyAlignment="1">
      <alignment/>
    </xf>
    <xf numFmtId="37" fontId="1" fillId="33" borderId="45" xfId="0" applyNumberFormat="1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0" fillId="36" borderId="39" xfId="0" applyFont="1" applyFill="1" applyBorder="1" applyAlignment="1">
      <alignment/>
    </xf>
    <xf numFmtId="0" fontId="10" fillId="36" borderId="40" xfId="0" applyFont="1" applyFill="1" applyBorder="1" applyAlignment="1">
      <alignment/>
    </xf>
    <xf numFmtId="37" fontId="10" fillId="36" borderId="40" xfId="0" applyNumberFormat="1" applyFont="1" applyFill="1" applyBorder="1" applyAlignment="1">
      <alignment/>
    </xf>
    <xf numFmtId="37" fontId="10" fillId="36" borderId="45" xfId="0" applyNumberFormat="1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172" fontId="10" fillId="36" borderId="10" xfId="59" applyNumberFormat="1" applyFont="1" applyFill="1" applyBorder="1" applyAlignment="1">
      <alignment/>
    </xf>
    <xf numFmtId="172" fontId="10" fillId="36" borderId="46" xfId="59" applyNumberFormat="1" applyFont="1" applyFill="1" applyBorder="1" applyAlignment="1">
      <alignment/>
    </xf>
    <xf numFmtId="172" fontId="10" fillId="36" borderId="42" xfId="59" applyNumberFormat="1" applyFont="1" applyFill="1" applyBorder="1" applyAlignment="1">
      <alignment/>
    </xf>
    <xf numFmtId="172" fontId="10" fillId="36" borderId="44" xfId="59" applyNumberFormat="1" applyFont="1" applyFill="1" applyBorder="1" applyAlignment="1">
      <alignment/>
    </xf>
    <xf numFmtId="9" fontId="1" fillId="33" borderId="40" xfId="59" applyFont="1" applyFill="1" applyBorder="1" applyAlignment="1">
      <alignment/>
    </xf>
    <xf numFmtId="9" fontId="1" fillId="33" borderId="45" xfId="59" applyFont="1" applyFill="1" applyBorder="1" applyAlignment="1">
      <alignment/>
    </xf>
    <xf numFmtId="9" fontId="1" fillId="33" borderId="46" xfId="59" applyFont="1" applyFill="1" applyBorder="1" applyAlignment="1">
      <alignment/>
    </xf>
    <xf numFmtId="2" fontId="1" fillId="33" borderId="46" xfId="0" applyNumberFormat="1" applyFont="1" applyFill="1" applyBorder="1" applyAlignment="1" applyProtection="1">
      <alignment/>
      <protection/>
    </xf>
    <xf numFmtId="37" fontId="1" fillId="34" borderId="46" xfId="0" applyNumberFormat="1" applyFont="1" applyFill="1" applyBorder="1" applyAlignment="1">
      <alignment/>
    </xf>
    <xf numFmtId="37" fontId="1" fillId="33" borderId="46" xfId="0" applyNumberFormat="1" applyFont="1" applyFill="1" applyBorder="1" applyAlignment="1">
      <alignment/>
    </xf>
    <xf numFmtId="37" fontId="1" fillId="34" borderId="42" xfId="0" applyNumberFormat="1" applyFont="1" applyFill="1" applyBorder="1" applyAlignment="1">
      <alignment/>
    </xf>
    <xf numFmtId="37" fontId="1" fillId="34" borderId="44" xfId="0" applyNumberFormat="1" applyFont="1" applyFill="1" applyBorder="1" applyAlignment="1">
      <alignment/>
    </xf>
    <xf numFmtId="9" fontId="1" fillId="33" borderId="42" xfId="59" applyFont="1" applyFill="1" applyBorder="1" applyAlignment="1">
      <alignment/>
    </xf>
    <xf numFmtId="9" fontId="1" fillId="33" borderId="44" xfId="59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7" fontId="1" fillId="33" borderId="22" xfId="0" applyNumberFormat="1" applyFont="1" applyFill="1" applyBorder="1" applyAlignment="1">
      <alignment/>
    </xf>
    <xf numFmtId="37" fontId="1" fillId="33" borderId="27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10" fillId="33" borderId="41" xfId="0" applyFont="1" applyFill="1" applyBorder="1" applyAlignment="1">
      <alignment/>
    </xf>
    <xf numFmtId="0" fontId="10" fillId="33" borderId="42" xfId="0" applyFont="1" applyFill="1" applyBorder="1" applyAlignment="1">
      <alignment/>
    </xf>
    <xf numFmtId="37" fontId="10" fillId="33" borderId="42" xfId="44" applyNumberFormat="1" applyFont="1" applyFill="1" applyBorder="1" applyAlignment="1">
      <alignment/>
    </xf>
    <xf numFmtId="37" fontId="10" fillId="33" borderId="44" xfId="44" applyNumberFormat="1" applyFont="1" applyFill="1" applyBorder="1" applyAlignment="1">
      <alignment/>
    </xf>
    <xf numFmtId="0" fontId="16" fillId="0" borderId="0" xfId="0" applyFont="1" applyAlignment="1">
      <alignment/>
    </xf>
    <xf numFmtId="0" fontId="7" fillId="33" borderId="47" xfId="0" applyFont="1" applyFill="1" applyBorder="1" applyAlignment="1" applyProtection="1">
      <alignment horizontal="left"/>
      <protection/>
    </xf>
    <xf numFmtId="0" fontId="7" fillId="33" borderId="48" xfId="0" applyFont="1" applyFill="1" applyBorder="1" applyAlignment="1" applyProtection="1">
      <alignment horizontal="left"/>
      <protection/>
    </xf>
    <xf numFmtId="0" fontId="7" fillId="33" borderId="49" xfId="0" applyFont="1" applyFill="1" applyBorder="1" applyAlignment="1" applyProtection="1">
      <alignment horizontal="left"/>
      <protection/>
    </xf>
    <xf numFmtId="0" fontId="8" fillId="33" borderId="37" xfId="0" applyFont="1" applyFill="1" applyBorder="1" applyAlignment="1" applyProtection="1">
      <alignment horizontal="left"/>
      <protection/>
    </xf>
    <xf numFmtId="0" fontId="7" fillId="33" borderId="50" xfId="0" applyFont="1" applyFill="1" applyBorder="1" applyAlignment="1">
      <alignment/>
    </xf>
    <xf numFmtId="0" fontId="8" fillId="36" borderId="37" xfId="0" applyFont="1" applyFill="1" applyBorder="1" applyAlignment="1" applyProtection="1">
      <alignment horizontal="left"/>
      <protection/>
    </xf>
    <xf numFmtId="0" fontId="7" fillId="33" borderId="51" xfId="0" applyFont="1" applyFill="1" applyBorder="1" applyAlignment="1" applyProtection="1">
      <alignment horizontal="left"/>
      <protection/>
    </xf>
    <xf numFmtId="0" fontId="7" fillId="33" borderId="49" xfId="0" applyFont="1" applyFill="1" applyBorder="1" applyAlignment="1">
      <alignment/>
    </xf>
    <xf numFmtId="0" fontId="7" fillId="33" borderId="37" xfId="0" applyFont="1" applyFill="1" applyBorder="1" applyAlignment="1" applyProtection="1">
      <alignment horizontal="left"/>
      <protection/>
    </xf>
    <xf numFmtId="0" fontId="7" fillId="33" borderId="52" xfId="0" applyFont="1" applyFill="1" applyBorder="1" applyAlignment="1">
      <alignment/>
    </xf>
    <xf numFmtId="0" fontId="7" fillId="33" borderId="53" xfId="0" applyFont="1" applyFill="1" applyBorder="1" applyAlignment="1" applyProtection="1">
      <alignment horizontal="left"/>
      <protection/>
    </xf>
    <xf numFmtId="0" fontId="1" fillId="33" borderId="54" xfId="0" applyFont="1" applyFill="1" applyBorder="1" applyAlignment="1" applyProtection="1">
      <alignment horizontal="left"/>
      <protection/>
    </xf>
    <xf numFmtId="44" fontId="1" fillId="33" borderId="40" xfId="44" applyFont="1" applyFill="1" applyBorder="1" applyAlignment="1" applyProtection="1">
      <alignment horizontal="left"/>
      <protection/>
    </xf>
    <xf numFmtId="164" fontId="2" fillId="34" borderId="40" xfId="44" applyNumberFormat="1" applyFont="1" applyFill="1" applyBorder="1" applyAlignment="1" applyProtection="1">
      <alignment/>
      <protection/>
    </xf>
    <xf numFmtId="164" fontId="2" fillId="34" borderId="45" xfId="44" applyNumberFormat="1" applyFont="1" applyFill="1" applyBorder="1" applyAlignment="1" applyProtection="1">
      <alignment/>
      <protection/>
    </xf>
    <xf numFmtId="0" fontId="1" fillId="33" borderId="55" xfId="0" applyFont="1" applyFill="1" applyBorder="1" applyAlignment="1" applyProtection="1">
      <alignment horizontal="left"/>
      <protection/>
    </xf>
    <xf numFmtId="164" fontId="2" fillId="34" borderId="46" xfId="44" applyNumberFormat="1" applyFont="1" applyFill="1" applyBorder="1" applyAlignment="1" applyProtection="1">
      <alignment/>
      <protection/>
    </xf>
    <xf numFmtId="0" fontId="1" fillId="33" borderId="56" xfId="0" applyFont="1" applyFill="1" applyBorder="1" applyAlignment="1" applyProtection="1">
      <alignment horizontal="left"/>
      <protection/>
    </xf>
    <xf numFmtId="164" fontId="2" fillId="34" borderId="57" xfId="44" applyNumberFormat="1" applyFont="1" applyFill="1" applyBorder="1" applyAlignment="1" applyProtection="1">
      <alignment/>
      <protection/>
    </xf>
    <xf numFmtId="0" fontId="1" fillId="33" borderId="58" xfId="0" applyFont="1" applyFill="1" applyBorder="1" applyAlignment="1" applyProtection="1">
      <alignment horizontal="left"/>
      <protection/>
    </xf>
    <xf numFmtId="0" fontId="1" fillId="33" borderId="59" xfId="0" applyFont="1" applyFill="1" applyBorder="1" applyAlignment="1" applyProtection="1">
      <alignment horizontal="left"/>
      <protection/>
    </xf>
    <xf numFmtId="164" fontId="2" fillId="34" borderId="43" xfId="44" applyNumberFormat="1" applyFont="1" applyFill="1" applyBorder="1" applyAlignment="1" applyProtection="1">
      <alignment/>
      <protection/>
    </xf>
    <xf numFmtId="0" fontId="1" fillId="33" borderId="60" xfId="0" applyFont="1" applyFill="1" applyBorder="1" applyAlignment="1">
      <alignment/>
    </xf>
    <xf numFmtId="0" fontId="12" fillId="36" borderId="58" xfId="0" applyFont="1" applyFill="1" applyBorder="1" applyAlignment="1" applyProtection="1">
      <alignment horizontal="left"/>
      <protection/>
    </xf>
    <xf numFmtId="5" fontId="1" fillId="0" borderId="52" xfId="0" applyNumberFormat="1" applyFont="1" applyBorder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164" fontId="1" fillId="0" borderId="0" xfId="44" applyNumberFormat="1" applyFont="1" applyBorder="1" applyAlignment="1" applyProtection="1">
      <alignment/>
      <protection/>
    </xf>
    <xf numFmtId="164" fontId="1" fillId="0" borderId="61" xfId="44" applyNumberFormat="1" applyFont="1" applyBorder="1" applyAlignment="1" applyProtection="1">
      <alignment/>
      <protection/>
    </xf>
    <xf numFmtId="164" fontId="1" fillId="34" borderId="46" xfId="44" applyNumberFormat="1" applyFont="1" applyFill="1" applyBorder="1" applyAlignment="1" applyProtection="1">
      <alignment/>
      <protection/>
    </xf>
    <xf numFmtId="0" fontId="1" fillId="33" borderId="55" xfId="0" applyFont="1" applyFill="1" applyBorder="1" applyAlignment="1">
      <alignment/>
    </xf>
    <xf numFmtId="164" fontId="1" fillId="34" borderId="46" xfId="44" applyNumberFormat="1" applyFont="1" applyFill="1" applyBorder="1" applyAlignment="1">
      <alignment/>
    </xf>
    <xf numFmtId="0" fontId="1" fillId="33" borderId="56" xfId="0" applyFont="1" applyFill="1" applyBorder="1" applyAlignment="1">
      <alignment/>
    </xf>
    <xf numFmtId="164" fontId="1" fillId="34" borderId="57" xfId="44" applyNumberFormat="1" applyFont="1" applyFill="1" applyBorder="1" applyAlignment="1">
      <alignment/>
    </xf>
    <xf numFmtId="0" fontId="1" fillId="33" borderId="62" xfId="0" applyFont="1" applyFill="1" applyBorder="1" applyAlignment="1">
      <alignment/>
    </xf>
    <xf numFmtId="0" fontId="1" fillId="36" borderId="58" xfId="0" applyFont="1" applyFill="1" applyBorder="1" applyAlignment="1" applyProtection="1">
      <alignment horizontal="left"/>
      <protection/>
    </xf>
    <xf numFmtId="0" fontId="1" fillId="0" borderId="52" xfId="0" applyFont="1" applyBorder="1" applyAlignment="1">
      <alignment/>
    </xf>
    <xf numFmtId="44" fontId="1" fillId="0" borderId="0" xfId="44" applyFont="1" applyBorder="1" applyAlignment="1">
      <alignment/>
    </xf>
    <xf numFmtId="164" fontId="1" fillId="0" borderId="0" xfId="44" applyNumberFormat="1" applyFont="1" applyBorder="1" applyAlignment="1">
      <alignment/>
    </xf>
    <xf numFmtId="164" fontId="1" fillId="0" borderId="61" xfId="44" applyNumberFormat="1" applyFont="1" applyBorder="1" applyAlignment="1">
      <alignment/>
    </xf>
    <xf numFmtId="0" fontId="1" fillId="34" borderId="59" xfId="0" applyFont="1" applyFill="1" applyBorder="1" applyAlignment="1" applyProtection="1">
      <alignment/>
      <protection/>
    </xf>
    <xf numFmtId="164" fontId="1" fillId="33" borderId="46" xfId="44" applyNumberFormat="1" applyFont="1" applyFill="1" applyBorder="1" applyAlignment="1" applyProtection="1">
      <alignment/>
      <protection/>
    </xf>
    <xf numFmtId="0" fontId="1" fillId="34" borderId="55" xfId="0" applyFont="1" applyFill="1" applyBorder="1" applyAlignment="1" applyProtection="1">
      <alignment/>
      <protection/>
    </xf>
    <xf numFmtId="164" fontId="3" fillId="33" borderId="46" xfId="44" applyNumberFormat="1" applyFont="1" applyFill="1" applyBorder="1" applyAlignment="1" applyProtection="1">
      <alignment/>
      <protection/>
    </xf>
    <xf numFmtId="0" fontId="1" fillId="33" borderId="53" xfId="0" applyFont="1" applyFill="1" applyBorder="1" applyAlignment="1" applyProtection="1">
      <alignment horizontal="left"/>
      <protection/>
    </xf>
    <xf numFmtId="44" fontId="1" fillId="33" borderId="63" xfId="44" applyFont="1" applyFill="1" applyBorder="1" applyAlignment="1" applyProtection="1">
      <alignment horizontal="left"/>
      <protection/>
    </xf>
    <xf numFmtId="164" fontId="3" fillId="33" borderId="42" xfId="44" applyNumberFormat="1" applyFont="1" applyFill="1" applyBorder="1" applyAlignment="1" applyProtection="1">
      <alignment/>
      <protection/>
    </xf>
    <xf numFmtId="164" fontId="3" fillId="33" borderId="44" xfId="44" applyNumberFormat="1" applyFont="1" applyFill="1" applyBorder="1" applyAlignment="1" applyProtection="1">
      <alignment/>
      <protection/>
    </xf>
    <xf numFmtId="0" fontId="9" fillId="37" borderId="29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164" fontId="1" fillId="0" borderId="0" xfId="44" applyNumberFormat="1" applyFont="1" applyBorder="1" applyAlignment="1" applyProtection="1">
      <alignment/>
      <protection/>
    </xf>
    <xf numFmtId="5" fontId="1" fillId="0" borderId="52" xfId="0" applyNumberFormat="1" applyFont="1" applyBorder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5" fontId="0" fillId="0" borderId="52" xfId="0" applyNumberFormat="1" applyFont="1" applyBorder="1" applyAlignment="1" applyProtection="1">
      <alignment/>
      <protection/>
    </xf>
    <xf numFmtId="164" fontId="14" fillId="0" borderId="0" xfId="44" applyNumberFormat="1" applyFont="1" applyBorder="1" applyAlignment="1" applyProtection="1">
      <alignment/>
      <protection/>
    </xf>
    <xf numFmtId="164" fontId="14" fillId="0" borderId="61" xfId="44" applyNumberFormat="1" applyFont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61" xfId="0" applyNumberFormat="1" applyFont="1" applyBorder="1" applyAlignment="1" applyProtection="1">
      <alignment vertical="center"/>
      <protection/>
    </xf>
    <xf numFmtId="0" fontId="66" fillId="38" borderId="52" xfId="0" applyFont="1" applyFill="1" applyBorder="1" applyAlignment="1">
      <alignment vertical="center"/>
    </xf>
    <xf numFmtId="0" fontId="66" fillId="38" borderId="0" xfId="0" applyFont="1" applyFill="1" applyBorder="1" applyAlignment="1">
      <alignment vertical="center"/>
    </xf>
    <xf numFmtId="44" fontId="66" fillId="38" borderId="0" xfId="44" applyFont="1" applyFill="1" applyBorder="1" applyAlignment="1">
      <alignment vertical="center"/>
    </xf>
    <xf numFmtId="0" fontId="20" fillId="33" borderId="52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44" fontId="14" fillId="38" borderId="0" xfId="44" applyFont="1" applyFill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0" fontId="14" fillId="0" borderId="0" xfId="59" applyNumberFormat="1" applyFont="1" applyBorder="1" applyAlignment="1">
      <alignment vertical="center"/>
    </xf>
    <xf numFmtId="44" fontId="14" fillId="0" borderId="0" xfId="0" applyNumberFormat="1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44" fontId="14" fillId="0" borderId="65" xfId="44" applyFont="1" applyBorder="1" applyAlignment="1">
      <alignment vertical="center"/>
    </xf>
    <xf numFmtId="164" fontId="67" fillId="39" borderId="22" xfId="44" applyNumberFormat="1" applyFont="1" applyFill="1" applyBorder="1" applyAlignment="1" applyProtection="1">
      <alignment/>
      <protection/>
    </xf>
    <xf numFmtId="0" fontId="1" fillId="0" borderId="52" xfId="0" applyFont="1" applyBorder="1" applyAlignment="1">
      <alignment/>
    </xf>
    <xf numFmtId="44" fontId="1" fillId="0" borderId="0" xfId="44" applyFont="1" applyBorder="1" applyAlignment="1">
      <alignment/>
    </xf>
    <xf numFmtId="164" fontId="1" fillId="0" borderId="0" xfId="44" applyNumberFormat="1" applyFont="1" applyBorder="1" applyAlignment="1">
      <alignment/>
    </xf>
    <xf numFmtId="164" fontId="1" fillId="0" borderId="61" xfId="44" applyNumberFormat="1" applyFont="1" applyBorder="1" applyAlignment="1">
      <alignment/>
    </xf>
    <xf numFmtId="0" fontId="0" fillId="0" borderId="52" xfId="0" applyFont="1" applyBorder="1" applyAlignment="1">
      <alignment/>
    </xf>
    <xf numFmtId="10" fontId="14" fillId="0" borderId="61" xfId="59" applyNumberFormat="1" applyFont="1" applyBorder="1" applyAlignment="1">
      <alignment vertical="center"/>
    </xf>
    <xf numFmtId="44" fontId="14" fillId="0" borderId="61" xfId="0" applyNumberFormat="1" applyFont="1" applyBorder="1" applyAlignment="1">
      <alignment vertical="center"/>
    </xf>
    <xf numFmtId="44" fontId="14" fillId="0" borderId="66" xfId="44" applyFont="1" applyBorder="1" applyAlignment="1">
      <alignment vertical="center"/>
    </xf>
    <xf numFmtId="0" fontId="66" fillId="40" borderId="67" xfId="0" applyFont="1" applyFill="1" applyBorder="1" applyAlignment="1">
      <alignment vertical="center"/>
    </xf>
    <xf numFmtId="0" fontId="66" fillId="40" borderId="68" xfId="0" applyFont="1" applyFill="1" applyBorder="1" applyAlignment="1">
      <alignment vertical="center"/>
    </xf>
    <xf numFmtId="44" fontId="66" fillId="40" borderId="68" xfId="44" applyFont="1" applyFill="1" applyBorder="1" applyAlignment="1">
      <alignment vertical="center"/>
    </xf>
    <xf numFmtId="37" fontId="66" fillId="40" borderId="68" xfId="0" applyNumberFormat="1" applyFont="1" applyFill="1" applyBorder="1" applyAlignment="1" applyProtection="1">
      <alignment vertical="center"/>
      <protection/>
    </xf>
    <xf numFmtId="37" fontId="66" fillId="40" borderId="69" xfId="0" applyNumberFormat="1" applyFont="1" applyFill="1" applyBorder="1" applyAlignment="1" applyProtection="1">
      <alignment vertical="center"/>
      <protection/>
    </xf>
    <xf numFmtId="5" fontId="66" fillId="39" borderId="37" xfId="0" applyNumberFormat="1" applyFont="1" applyFill="1" applyBorder="1" applyAlignment="1" applyProtection="1">
      <alignment vertical="center"/>
      <protection/>
    </xf>
    <xf numFmtId="5" fontId="66" fillId="39" borderId="38" xfId="0" applyNumberFormat="1" applyFont="1" applyFill="1" applyBorder="1" applyAlignment="1" applyProtection="1">
      <alignment vertical="center"/>
      <protection/>
    </xf>
    <xf numFmtId="44" fontId="66" fillId="39" borderId="38" xfId="44" applyFont="1" applyFill="1" applyBorder="1" applyAlignment="1" applyProtection="1">
      <alignment vertical="center"/>
      <protection/>
    </xf>
    <xf numFmtId="164" fontId="66" fillId="39" borderId="38" xfId="44" applyNumberFormat="1" applyFont="1" applyFill="1" applyBorder="1" applyAlignment="1" applyProtection="1">
      <alignment vertical="center"/>
      <protection/>
    </xf>
    <xf numFmtId="164" fontId="66" fillId="39" borderId="70" xfId="44" applyNumberFormat="1" applyFont="1" applyFill="1" applyBorder="1" applyAlignment="1" applyProtection="1">
      <alignment vertical="center"/>
      <protection/>
    </xf>
    <xf numFmtId="37" fontId="66" fillId="39" borderId="38" xfId="0" applyNumberFormat="1" applyFont="1" applyFill="1" applyBorder="1" applyAlignment="1" applyProtection="1">
      <alignment vertical="center"/>
      <protection/>
    </xf>
    <xf numFmtId="44" fontId="66" fillId="39" borderId="70" xfId="44" applyFont="1" applyFill="1" applyBorder="1" applyAlignment="1" applyProtection="1">
      <alignment vertical="center"/>
      <protection/>
    </xf>
    <xf numFmtId="0" fontId="66" fillId="39" borderId="37" xfId="0" applyFont="1" applyFill="1" applyBorder="1" applyAlignment="1">
      <alignment vertical="center"/>
    </xf>
    <xf numFmtId="0" fontId="66" fillId="39" borderId="38" xfId="0" applyFont="1" applyFill="1" applyBorder="1" applyAlignment="1">
      <alignment vertical="center"/>
    </xf>
    <xf numFmtId="44" fontId="66" fillId="39" borderId="70" xfId="44" applyFont="1" applyFill="1" applyBorder="1" applyAlignment="1">
      <alignment vertical="center"/>
    </xf>
    <xf numFmtId="0" fontId="68" fillId="39" borderId="38" xfId="0" applyFont="1" applyFill="1" applyBorder="1" applyAlignment="1">
      <alignment vertical="center"/>
    </xf>
    <xf numFmtId="44" fontId="66" fillId="39" borderId="38" xfId="44" applyFont="1" applyFill="1" applyBorder="1" applyAlignment="1">
      <alignment vertical="center"/>
    </xf>
    <xf numFmtId="0" fontId="66" fillId="39" borderId="20" xfId="0" applyFont="1" applyFill="1" applyBorder="1" applyAlignment="1" applyProtection="1">
      <alignment horizontal="left"/>
      <protection/>
    </xf>
    <xf numFmtId="0" fontId="66" fillId="39" borderId="58" xfId="0" applyFont="1" applyFill="1" applyBorder="1" applyAlignment="1" applyProtection="1">
      <alignment horizontal="left"/>
      <protection/>
    </xf>
    <xf numFmtId="44" fontId="66" fillId="39" borderId="22" xfId="44" applyFont="1" applyFill="1" applyBorder="1" applyAlignment="1" applyProtection="1">
      <alignment horizontal="left"/>
      <protection/>
    </xf>
    <xf numFmtId="164" fontId="66" fillId="39" borderId="22" xfId="44" applyNumberFormat="1" applyFont="1" applyFill="1" applyBorder="1" applyAlignment="1" applyProtection="1">
      <alignment/>
      <protection/>
    </xf>
    <xf numFmtId="164" fontId="66" fillId="39" borderId="27" xfId="44" applyNumberFormat="1" applyFont="1" applyFill="1" applyBorder="1" applyAlignment="1" applyProtection="1">
      <alignment/>
      <protection/>
    </xf>
    <xf numFmtId="44" fontId="66" fillId="39" borderId="22" xfId="44" applyFont="1" applyFill="1" applyBorder="1" applyAlignment="1" applyProtection="1" quotePrefix="1">
      <alignment horizontal="left"/>
      <protection/>
    </xf>
    <xf numFmtId="0" fontId="69" fillId="33" borderId="23" xfId="0" applyFont="1" applyFill="1" applyBorder="1" applyAlignment="1" applyProtection="1">
      <alignment horizontal="left" vertical="center"/>
      <protection/>
    </xf>
    <xf numFmtId="0" fontId="70" fillId="33" borderId="24" xfId="0" applyFont="1" applyFill="1" applyBorder="1" applyAlignment="1" applyProtection="1">
      <alignment horizontal="left" vertical="center"/>
      <protection/>
    </xf>
    <xf numFmtId="44" fontId="70" fillId="33" borderId="25" xfId="44" applyFont="1" applyFill="1" applyBorder="1" applyAlignment="1" applyProtection="1">
      <alignment horizontal="left" vertical="center"/>
      <protection/>
    </xf>
    <xf numFmtId="164" fontId="70" fillId="41" borderId="25" xfId="44" applyNumberFormat="1" applyFont="1" applyFill="1" applyBorder="1" applyAlignment="1" applyProtection="1">
      <alignment vertical="center"/>
      <protection/>
    </xf>
    <xf numFmtId="164" fontId="70" fillId="41" borderId="43" xfId="44" applyNumberFormat="1" applyFont="1" applyFill="1" applyBorder="1" applyAlignment="1" applyProtection="1">
      <alignment vertical="center"/>
      <protection/>
    </xf>
    <xf numFmtId="0" fontId="69" fillId="33" borderId="14" xfId="0" applyFont="1" applyFill="1" applyBorder="1" applyAlignment="1" applyProtection="1">
      <alignment horizontal="left" vertical="center"/>
      <protection/>
    </xf>
    <xf numFmtId="0" fontId="70" fillId="33" borderId="12" xfId="0" applyFont="1" applyFill="1" applyBorder="1" applyAlignment="1" applyProtection="1">
      <alignment horizontal="left" vertical="center"/>
      <protection/>
    </xf>
    <xf numFmtId="44" fontId="70" fillId="33" borderId="10" xfId="44" applyFont="1" applyFill="1" applyBorder="1" applyAlignment="1" applyProtection="1">
      <alignment horizontal="left" vertical="center"/>
      <protection/>
    </xf>
    <xf numFmtId="164" fontId="70" fillId="41" borderId="10" xfId="44" applyNumberFormat="1" applyFont="1" applyFill="1" applyBorder="1" applyAlignment="1" applyProtection="1">
      <alignment vertical="center"/>
      <protection/>
    </xf>
    <xf numFmtId="164" fontId="70" fillId="41" borderId="46" xfId="44" applyNumberFormat="1" applyFont="1" applyFill="1" applyBorder="1" applyAlignment="1" applyProtection="1">
      <alignment vertical="center"/>
      <protection/>
    </xf>
    <xf numFmtId="0" fontId="70" fillId="33" borderId="11" xfId="0" applyFont="1" applyFill="1" applyBorder="1" applyAlignment="1" applyProtection="1">
      <alignment horizontal="left" vertical="center"/>
      <protection/>
    </xf>
    <xf numFmtId="0" fontId="69" fillId="33" borderId="18" xfId="0" applyFont="1" applyFill="1" applyBorder="1" applyAlignment="1" applyProtection="1">
      <alignment horizontal="left" vertical="center"/>
      <protection/>
    </xf>
    <xf numFmtId="0" fontId="70" fillId="33" borderId="19" xfId="0" applyFont="1" applyFill="1" applyBorder="1" applyAlignment="1" applyProtection="1">
      <alignment horizontal="left" vertical="center"/>
      <protection/>
    </xf>
    <xf numFmtId="44" fontId="70" fillId="33" borderId="26" xfId="44" applyFont="1" applyFill="1" applyBorder="1" applyAlignment="1" applyProtection="1">
      <alignment horizontal="left" vertical="center"/>
      <protection/>
    </xf>
    <xf numFmtId="164" fontId="70" fillId="41" borderId="26" xfId="44" applyNumberFormat="1" applyFont="1" applyFill="1" applyBorder="1" applyAlignment="1" applyProtection="1">
      <alignment vertical="center"/>
      <protection/>
    </xf>
    <xf numFmtId="164" fontId="70" fillId="41" borderId="57" xfId="44" applyNumberFormat="1" applyFont="1" applyFill="1" applyBorder="1" applyAlignment="1" applyProtection="1">
      <alignment vertical="center"/>
      <protection/>
    </xf>
    <xf numFmtId="0" fontId="69" fillId="33" borderId="16" xfId="0" applyFont="1" applyFill="1" applyBorder="1" applyAlignment="1" applyProtection="1">
      <alignment horizontal="left" vertical="center"/>
      <protection/>
    </xf>
    <xf numFmtId="0" fontId="70" fillId="41" borderId="59" xfId="0" applyFont="1" applyFill="1" applyBorder="1" applyAlignment="1" applyProtection="1">
      <alignment vertical="center"/>
      <protection/>
    </xf>
    <xf numFmtId="44" fontId="70" fillId="41" borderId="25" xfId="44" applyFont="1" applyFill="1" applyBorder="1" applyAlignment="1" applyProtection="1">
      <alignment vertical="center"/>
      <protection/>
    </xf>
    <xf numFmtId="164" fontId="70" fillId="33" borderId="10" xfId="44" applyNumberFormat="1" applyFont="1" applyFill="1" applyBorder="1" applyAlignment="1" applyProtection="1">
      <alignment vertical="center"/>
      <protection/>
    </xf>
    <xf numFmtId="0" fontId="70" fillId="41" borderId="55" xfId="0" applyFont="1" applyFill="1" applyBorder="1" applyAlignment="1" applyProtection="1">
      <alignment vertical="center"/>
      <protection/>
    </xf>
    <xf numFmtId="44" fontId="70" fillId="33" borderId="10" xfId="44" applyFont="1" applyFill="1" applyBorder="1" applyAlignment="1" applyProtection="1">
      <alignment vertical="center"/>
      <protection/>
    </xf>
    <xf numFmtId="44" fontId="70" fillId="41" borderId="10" xfId="44" applyFont="1" applyFill="1" applyBorder="1" applyAlignment="1" applyProtection="1">
      <alignment vertical="center"/>
      <protection/>
    </xf>
    <xf numFmtId="0" fontId="70" fillId="33" borderId="55" xfId="0" applyFont="1" applyFill="1" applyBorder="1" applyAlignment="1" applyProtection="1">
      <alignment horizontal="left" vertical="center"/>
      <protection/>
    </xf>
    <xf numFmtId="44" fontId="70" fillId="33" borderId="46" xfId="44" applyFont="1" applyFill="1" applyBorder="1" applyAlignment="1" applyProtection="1">
      <alignment horizontal="left" vertical="center"/>
      <protection/>
    </xf>
    <xf numFmtId="0" fontId="69" fillId="33" borderId="15" xfId="0" applyFont="1" applyFill="1" applyBorder="1" applyAlignment="1" applyProtection="1">
      <alignment horizontal="left" vertical="center"/>
      <protection/>
    </xf>
    <xf numFmtId="0" fontId="70" fillId="33" borderId="53" xfId="0" applyFont="1" applyFill="1" applyBorder="1" applyAlignment="1" applyProtection="1">
      <alignment horizontal="left" vertical="center"/>
      <protection/>
    </xf>
    <xf numFmtId="44" fontId="70" fillId="33" borderId="63" xfId="44" applyFont="1" applyFill="1" applyBorder="1" applyAlignment="1" applyProtection="1">
      <alignment horizontal="left" vertical="center"/>
      <protection/>
    </xf>
    <xf numFmtId="164" fontId="70" fillId="33" borderId="42" xfId="44" applyNumberFormat="1" applyFont="1" applyFill="1" applyBorder="1" applyAlignment="1" applyProtection="1">
      <alignment vertical="center"/>
      <protection/>
    </xf>
    <xf numFmtId="164" fontId="70" fillId="33" borderId="44" xfId="44" applyNumberFormat="1" applyFont="1" applyFill="1" applyBorder="1" applyAlignment="1" applyProtection="1">
      <alignment vertical="center"/>
      <protection/>
    </xf>
    <xf numFmtId="0" fontId="69" fillId="33" borderId="16" xfId="0" applyFont="1" applyFill="1" applyBorder="1" applyAlignment="1" applyProtection="1">
      <alignment horizontal="left"/>
      <protection/>
    </xf>
    <xf numFmtId="0" fontId="70" fillId="33" borderId="55" xfId="0" applyFont="1" applyFill="1" applyBorder="1" applyAlignment="1" applyProtection="1">
      <alignment horizontal="left"/>
      <protection/>
    </xf>
    <xf numFmtId="44" fontId="70" fillId="33" borderId="10" xfId="44" applyFont="1" applyFill="1" applyBorder="1" applyAlignment="1" applyProtection="1">
      <alignment horizontal="left"/>
      <protection/>
    </xf>
    <xf numFmtId="164" fontId="70" fillId="41" borderId="10" xfId="44" applyNumberFormat="1" applyFont="1" applyFill="1" applyBorder="1" applyAlignment="1" applyProtection="1">
      <alignment/>
      <protection/>
    </xf>
    <xf numFmtId="164" fontId="71" fillId="41" borderId="10" xfId="44" applyNumberFormat="1" applyFont="1" applyFill="1" applyBorder="1" applyAlignment="1" applyProtection="1">
      <alignment/>
      <protection/>
    </xf>
    <xf numFmtId="164" fontId="71" fillId="41" borderId="46" xfId="44" applyNumberFormat="1" applyFont="1" applyFill="1" applyBorder="1" applyAlignment="1" applyProtection="1">
      <alignment/>
      <protection/>
    </xf>
    <xf numFmtId="0" fontId="69" fillId="33" borderId="14" xfId="0" applyFont="1" applyFill="1" applyBorder="1" applyAlignment="1" applyProtection="1">
      <alignment horizontal="left"/>
      <protection/>
    </xf>
    <xf numFmtId="0" fontId="69" fillId="33" borderId="14" xfId="0" applyFont="1" applyFill="1" applyBorder="1" applyAlignment="1">
      <alignment/>
    </xf>
    <xf numFmtId="0" fontId="70" fillId="33" borderId="55" xfId="0" applyFont="1" applyFill="1" applyBorder="1" applyAlignment="1">
      <alignment/>
    </xf>
    <xf numFmtId="44" fontId="70" fillId="33" borderId="10" xfId="44" applyFont="1" applyFill="1" applyBorder="1" applyAlignment="1">
      <alignment/>
    </xf>
    <xf numFmtId="164" fontId="70" fillId="41" borderId="10" xfId="44" applyNumberFormat="1" applyFont="1" applyFill="1" applyBorder="1" applyAlignment="1">
      <alignment/>
    </xf>
    <xf numFmtId="164" fontId="71" fillId="41" borderId="10" xfId="44" applyNumberFormat="1" applyFont="1" applyFill="1" applyBorder="1" applyAlignment="1">
      <alignment/>
    </xf>
    <xf numFmtId="164" fontId="71" fillId="41" borderId="46" xfId="44" applyNumberFormat="1" applyFont="1" applyFill="1" applyBorder="1" applyAlignment="1">
      <alignment/>
    </xf>
    <xf numFmtId="0" fontId="69" fillId="33" borderId="18" xfId="0" applyFont="1" applyFill="1" applyBorder="1" applyAlignment="1">
      <alignment/>
    </xf>
    <xf numFmtId="0" fontId="70" fillId="33" borderId="56" xfId="0" applyFont="1" applyFill="1" applyBorder="1" applyAlignment="1">
      <alignment/>
    </xf>
    <xf numFmtId="44" fontId="70" fillId="33" borderId="26" xfId="44" applyFont="1" applyFill="1" applyBorder="1" applyAlignment="1">
      <alignment/>
    </xf>
    <xf numFmtId="164" fontId="70" fillId="41" borderId="26" xfId="44" applyNumberFormat="1" applyFont="1" applyFill="1" applyBorder="1" applyAlignment="1">
      <alignment/>
    </xf>
    <xf numFmtId="164" fontId="71" fillId="41" borderId="26" xfId="44" applyNumberFormat="1" applyFont="1" applyFill="1" applyBorder="1" applyAlignment="1">
      <alignment/>
    </xf>
    <xf numFmtId="164" fontId="71" fillId="41" borderId="57" xfId="44" applyNumberFormat="1" applyFont="1" applyFill="1" applyBorder="1" applyAlignment="1">
      <alignment/>
    </xf>
    <xf numFmtId="0" fontId="69" fillId="33" borderId="20" xfId="0" applyFont="1" applyFill="1" applyBorder="1" applyAlignment="1" applyProtection="1">
      <alignment horizontal="left"/>
      <protection/>
    </xf>
    <xf numFmtId="0" fontId="70" fillId="33" borderId="58" xfId="0" applyFont="1" applyFill="1" applyBorder="1" applyAlignment="1" applyProtection="1">
      <alignment horizontal="left"/>
      <protection/>
    </xf>
    <xf numFmtId="44" fontId="70" fillId="33" borderId="22" xfId="44" applyFont="1" applyFill="1" applyBorder="1" applyAlignment="1" applyProtection="1">
      <alignment horizontal="left"/>
      <protection/>
    </xf>
    <xf numFmtId="164" fontId="70" fillId="33" borderId="22" xfId="44" applyNumberFormat="1" applyFont="1" applyFill="1" applyBorder="1" applyAlignment="1" applyProtection="1">
      <alignment/>
      <protection/>
    </xf>
    <xf numFmtId="164" fontId="71" fillId="33" borderId="22" xfId="44" applyNumberFormat="1" applyFont="1" applyFill="1" applyBorder="1" applyAlignment="1" applyProtection="1">
      <alignment/>
      <protection/>
    </xf>
    <xf numFmtId="164" fontId="71" fillId="33" borderId="27" xfId="44" applyNumberFormat="1" applyFont="1" applyFill="1" applyBorder="1" applyAlignment="1" applyProtection="1">
      <alignment/>
      <protection/>
    </xf>
    <xf numFmtId="0" fontId="69" fillId="33" borderId="17" xfId="0" applyFont="1" applyFill="1" applyBorder="1" applyAlignment="1">
      <alignment/>
    </xf>
    <xf numFmtId="0" fontId="70" fillId="33" borderId="62" xfId="0" applyFont="1" applyFill="1" applyBorder="1" applyAlignment="1">
      <alignment/>
    </xf>
    <xf numFmtId="10" fontId="70" fillId="41" borderId="31" xfId="59" applyNumberFormat="1" applyFont="1" applyFill="1" applyBorder="1" applyAlignment="1">
      <alignment/>
    </xf>
    <xf numFmtId="164" fontId="70" fillId="33" borderId="31" xfId="44" applyNumberFormat="1" applyFont="1" applyFill="1" applyBorder="1" applyAlignment="1" applyProtection="1">
      <alignment/>
      <protection/>
    </xf>
    <xf numFmtId="164" fontId="70" fillId="33" borderId="32" xfId="44" applyNumberFormat="1" applyFont="1" applyFill="1" applyBorder="1" applyAlignment="1" applyProtection="1">
      <alignment/>
      <protection/>
    </xf>
    <xf numFmtId="5" fontId="72" fillId="0" borderId="20" xfId="0" applyNumberFormat="1" applyFont="1" applyBorder="1" applyAlignment="1" applyProtection="1">
      <alignment/>
      <protection/>
    </xf>
    <xf numFmtId="0" fontId="69" fillId="33" borderId="23" xfId="0" applyFont="1" applyFill="1" applyBorder="1" applyAlignment="1" applyProtection="1">
      <alignment horizontal="left"/>
      <protection/>
    </xf>
    <xf numFmtId="0" fontId="71" fillId="33" borderId="54" xfId="0" applyFont="1" applyFill="1" applyBorder="1" applyAlignment="1" applyProtection="1">
      <alignment horizontal="left"/>
      <protection/>
    </xf>
    <xf numFmtId="44" fontId="71" fillId="33" borderId="40" xfId="44" applyFont="1" applyFill="1" applyBorder="1" applyAlignment="1" applyProtection="1">
      <alignment horizontal="left"/>
      <protection/>
    </xf>
    <xf numFmtId="164" fontId="70" fillId="41" borderId="40" xfId="44" applyNumberFormat="1" applyFont="1" applyFill="1" applyBorder="1" applyAlignment="1" applyProtection="1">
      <alignment/>
      <protection/>
    </xf>
    <xf numFmtId="164" fontId="71" fillId="41" borderId="40" xfId="44" applyNumberFormat="1" applyFont="1" applyFill="1" applyBorder="1" applyAlignment="1" applyProtection="1">
      <alignment/>
      <protection/>
    </xf>
    <xf numFmtId="164" fontId="71" fillId="41" borderId="45" xfId="44" applyNumberFormat="1" applyFont="1" applyFill="1" applyBorder="1" applyAlignment="1" applyProtection="1">
      <alignment/>
      <protection/>
    </xf>
    <xf numFmtId="0" fontId="71" fillId="33" borderId="55" xfId="0" applyFont="1" applyFill="1" applyBorder="1" applyAlignment="1" applyProtection="1">
      <alignment horizontal="left"/>
      <protection/>
    </xf>
    <xf numFmtId="44" fontId="71" fillId="33" borderId="10" xfId="44" applyFont="1" applyFill="1" applyBorder="1" applyAlignment="1" applyProtection="1">
      <alignment horizontal="left"/>
      <protection/>
    </xf>
    <xf numFmtId="0" fontId="69" fillId="33" borderId="18" xfId="0" applyFont="1" applyFill="1" applyBorder="1" applyAlignment="1" applyProtection="1">
      <alignment horizontal="left"/>
      <protection/>
    </xf>
    <xf numFmtId="0" fontId="71" fillId="33" borderId="56" xfId="0" applyFont="1" applyFill="1" applyBorder="1" applyAlignment="1" applyProtection="1">
      <alignment horizontal="left"/>
      <protection/>
    </xf>
    <xf numFmtId="44" fontId="71" fillId="33" borderId="26" xfId="44" applyFont="1" applyFill="1" applyBorder="1" applyAlignment="1" applyProtection="1">
      <alignment horizontal="left"/>
      <protection/>
    </xf>
    <xf numFmtId="164" fontId="70" fillId="41" borderId="26" xfId="44" applyNumberFormat="1" applyFont="1" applyFill="1" applyBorder="1" applyAlignment="1" applyProtection="1">
      <alignment/>
      <protection/>
    </xf>
    <xf numFmtId="164" fontId="71" fillId="41" borderId="26" xfId="44" applyNumberFormat="1" applyFont="1" applyFill="1" applyBorder="1" applyAlignment="1" applyProtection="1">
      <alignment/>
      <protection/>
    </xf>
    <xf numFmtId="164" fontId="71" fillId="41" borderId="57" xfId="44" applyNumberFormat="1" applyFont="1" applyFill="1" applyBorder="1" applyAlignment="1" applyProtection="1">
      <alignment/>
      <protection/>
    </xf>
    <xf numFmtId="164" fontId="70" fillId="41" borderId="25" xfId="44" applyNumberFormat="1" applyFont="1" applyFill="1" applyBorder="1" applyAlignment="1" applyProtection="1">
      <alignment/>
      <protection/>
    </xf>
    <xf numFmtId="0" fontId="69" fillId="33" borderId="33" xfId="0" applyFont="1" applyFill="1" applyBorder="1" applyAlignment="1">
      <alignment/>
    </xf>
    <xf numFmtId="164" fontId="73" fillId="33" borderId="35" xfId="44" applyNumberFormat="1" applyFont="1" applyFill="1" applyBorder="1" applyAlignment="1" applyProtection="1">
      <alignment/>
      <protection/>
    </xf>
    <xf numFmtId="0" fontId="70" fillId="33" borderId="59" xfId="0" applyFont="1" applyFill="1" applyBorder="1" applyAlignment="1" applyProtection="1">
      <alignment horizontal="left"/>
      <protection/>
    </xf>
    <xf numFmtId="44" fontId="70" fillId="33" borderId="25" xfId="44" applyFont="1" applyFill="1" applyBorder="1" applyAlignment="1" applyProtection="1">
      <alignment horizontal="left"/>
      <protection/>
    </xf>
    <xf numFmtId="164" fontId="70" fillId="41" borderId="43" xfId="44" applyNumberFormat="1" applyFont="1" applyFill="1" applyBorder="1" applyAlignment="1" applyProtection="1">
      <alignment/>
      <protection/>
    </xf>
    <xf numFmtId="0" fontId="70" fillId="33" borderId="56" xfId="0" applyFont="1" applyFill="1" applyBorder="1" applyAlignment="1" applyProtection="1">
      <alignment horizontal="left"/>
      <protection/>
    </xf>
    <xf numFmtId="44" fontId="70" fillId="33" borderId="26" xfId="44" applyFont="1" applyFill="1" applyBorder="1" applyAlignment="1" applyProtection="1">
      <alignment horizontal="left"/>
      <protection/>
    </xf>
    <xf numFmtId="164" fontId="70" fillId="41" borderId="57" xfId="44" applyNumberFormat="1" applyFont="1" applyFill="1" applyBorder="1" applyAlignment="1" applyProtection="1">
      <alignment/>
      <protection/>
    </xf>
    <xf numFmtId="0" fontId="70" fillId="33" borderId="60" xfId="0" applyFont="1" applyFill="1" applyBorder="1" applyAlignment="1">
      <alignment/>
    </xf>
    <xf numFmtId="10" fontId="70" fillId="41" borderId="35" xfId="59" applyNumberFormat="1" applyFont="1" applyFill="1" applyBorder="1" applyAlignment="1">
      <alignment/>
    </xf>
    <xf numFmtId="164" fontId="70" fillId="33" borderId="35" xfId="44" applyNumberFormat="1" applyFont="1" applyFill="1" applyBorder="1" applyAlignment="1" applyProtection="1">
      <alignment/>
      <protection/>
    </xf>
    <xf numFmtId="164" fontId="70" fillId="33" borderId="36" xfId="44" applyNumberFormat="1" applyFont="1" applyFill="1" applyBorder="1" applyAlignment="1" applyProtection="1">
      <alignment/>
      <protection/>
    </xf>
    <xf numFmtId="0" fontId="71" fillId="9" borderId="21" xfId="0" applyFont="1" applyFill="1" applyBorder="1" applyAlignment="1" applyProtection="1">
      <alignment horizontal="center"/>
      <protection/>
    </xf>
    <xf numFmtId="0" fontId="71" fillId="9" borderId="22" xfId="0" applyFont="1" applyFill="1" applyBorder="1" applyAlignment="1" applyProtection="1">
      <alignment horizontal="center"/>
      <protection/>
    </xf>
    <xf numFmtId="0" fontId="71" fillId="9" borderId="38" xfId="0" applyFont="1" applyFill="1" applyBorder="1" applyAlignment="1" applyProtection="1">
      <alignment horizontal="center"/>
      <protection/>
    </xf>
    <xf numFmtId="0" fontId="71" fillId="0" borderId="20" xfId="0" applyFont="1" applyFill="1" applyBorder="1" applyAlignment="1" applyProtection="1">
      <alignment horizontal="center"/>
      <protection/>
    </xf>
    <xf numFmtId="0" fontId="71" fillId="9" borderId="28" xfId="0" applyFont="1" applyFill="1" applyBorder="1" applyAlignment="1" applyProtection="1">
      <alignment horizontal="center"/>
      <protection/>
    </xf>
    <xf numFmtId="0" fontId="71" fillId="9" borderId="29" xfId="0" applyFont="1" applyFill="1" applyBorder="1" applyAlignment="1" applyProtection="1">
      <alignment horizontal="center"/>
      <protection/>
    </xf>
    <xf numFmtId="0" fontId="71" fillId="9" borderId="30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44" fontId="1" fillId="33" borderId="20" xfId="44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76" fillId="39" borderId="37" xfId="0" applyFont="1" applyFill="1" applyBorder="1" applyAlignment="1" applyProtection="1">
      <alignment horizontal="left" vertical="center"/>
      <protection/>
    </xf>
    <xf numFmtId="0" fontId="76" fillId="39" borderId="38" xfId="0" applyFont="1" applyFill="1" applyBorder="1" applyAlignment="1" applyProtection="1">
      <alignment horizontal="left" vertical="center"/>
      <protection/>
    </xf>
    <xf numFmtId="0" fontId="76" fillId="39" borderId="7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3857625</xdr:colOff>
      <xdr:row>26</xdr:row>
      <xdr:rowOff>180975</xdr:rowOff>
    </xdr:from>
    <xdr:to>
      <xdr:col>1</xdr:col>
      <xdr:colOff>3857625</xdr:colOff>
      <xdr:row>26</xdr:row>
      <xdr:rowOff>180975</xdr:rowOff>
    </xdr:to>
    <xdr:pic>
      <xdr:nvPicPr>
        <xdr:cNvPr id="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457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21</xdr:row>
      <xdr:rowOff>161925</xdr:rowOff>
    </xdr:from>
    <xdr:to>
      <xdr:col>9</xdr:col>
      <xdr:colOff>466725</xdr:colOff>
      <xdr:row>21</xdr:row>
      <xdr:rowOff>180975</xdr:rowOff>
    </xdr:to>
    <xdr:pic>
      <xdr:nvPicPr>
        <xdr:cNvPr id="2" name="In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44481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2133600</xdr:colOff>
      <xdr:row>14</xdr:row>
      <xdr:rowOff>161925</xdr:rowOff>
    </xdr:from>
    <xdr:to>
      <xdr:col>1</xdr:col>
      <xdr:colOff>2143125</xdr:colOff>
      <xdr:row>14</xdr:row>
      <xdr:rowOff>161925</xdr:rowOff>
    </xdr:to>
    <xdr:pic>
      <xdr:nvPicPr>
        <xdr:cNvPr id="3" name="In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3038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65.00390625" style="1" customWidth="1"/>
    <col min="3" max="3" width="10.421875" style="1" bestFit="1" customWidth="1"/>
    <col min="4" max="4" width="15.57421875" style="2" bestFit="1" customWidth="1"/>
    <col min="5" max="7" width="14.421875" style="2" hidden="1" customWidth="1"/>
    <col min="8" max="8" width="14.421875" style="2" bestFit="1" customWidth="1"/>
    <col min="9" max="9" width="14.421875" style="2" hidden="1" customWidth="1"/>
    <col min="10" max="11" width="14.421875" style="2" bestFit="1" customWidth="1"/>
    <col min="12" max="16384" width="9.140625" style="2" customWidth="1"/>
  </cols>
  <sheetData>
    <row r="1" ht="20.25">
      <c r="B1" s="173" t="s">
        <v>89</v>
      </c>
    </row>
    <row r="2" ht="15.75">
      <c r="B2" s="222" t="s">
        <v>11</v>
      </c>
    </row>
    <row r="4" spans="2:11" ht="27" thickBot="1">
      <c r="B4" s="377" t="s">
        <v>88</v>
      </c>
      <c r="C4" s="377"/>
      <c r="D4" s="377"/>
      <c r="E4" s="377"/>
      <c r="F4" s="377"/>
      <c r="G4" s="377"/>
      <c r="H4" s="377"/>
      <c r="I4" s="377"/>
      <c r="J4" s="377"/>
      <c r="K4" s="377"/>
    </row>
    <row r="5" spans="2:11" s="5" customFormat="1" ht="19.5" thickBot="1">
      <c r="B5" s="38"/>
      <c r="C5" s="49" t="s">
        <v>57</v>
      </c>
      <c r="D5" s="50" t="s">
        <v>58</v>
      </c>
      <c r="E5" s="51" t="s">
        <v>50</v>
      </c>
      <c r="F5" s="52" t="s">
        <v>51</v>
      </c>
      <c r="G5" s="52" t="s">
        <v>53</v>
      </c>
      <c r="H5" s="52" t="s">
        <v>52</v>
      </c>
      <c r="I5" s="52" t="s">
        <v>54</v>
      </c>
      <c r="J5" s="52" t="s">
        <v>55</v>
      </c>
      <c r="K5" s="53" t="s">
        <v>56</v>
      </c>
    </row>
    <row r="6" spans="2:11" ht="18.75">
      <c r="B6" s="35" t="s">
        <v>78</v>
      </c>
      <c r="C6" s="36"/>
      <c r="D6" s="37"/>
      <c r="E6" s="46">
        <v>0</v>
      </c>
      <c r="F6" s="46">
        <v>0</v>
      </c>
      <c r="G6" s="46">
        <v>0</v>
      </c>
      <c r="H6" s="46">
        <v>1533</v>
      </c>
      <c r="I6" s="46">
        <v>0</v>
      </c>
      <c r="J6" s="46">
        <v>1613</v>
      </c>
      <c r="K6" s="46">
        <v>1724</v>
      </c>
    </row>
    <row r="7" spans="2:11" ht="18.75">
      <c r="B7" s="21" t="s">
        <v>28</v>
      </c>
      <c r="C7" s="8"/>
      <c r="D7" s="11"/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</row>
    <row r="8" spans="2:11" ht="18.75" customHeight="1">
      <c r="B8" s="21" t="s">
        <v>79</v>
      </c>
      <c r="C8" s="8"/>
      <c r="D8" s="10"/>
      <c r="E8" s="47">
        <v>0</v>
      </c>
      <c r="F8" s="47">
        <v>0</v>
      </c>
      <c r="G8" s="47">
        <v>0</v>
      </c>
      <c r="H8" s="47">
        <v>1195</v>
      </c>
      <c r="I8" s="47">
        <v>0</v>
      </c>
      <c r="J8" s="47">
        <v>1391</v>
      </c>
      <c r="K8" s="47">
        <v>1484</v>
      </c>
    </row>
    <row r="9" spans="2:11" ht="19.5" thickBot="1">
      <c r="B9" s="39" t="s">
        <v>80</v>
      </c>
      <c r="C9" s="40"/>
      <c r="D9" s="41"/>
      <c r="E9" s="48">
        <v>0</v>
      </c>
      <c r="F9" s="48">
        <v>0</v>
      </c>
      <c r="G9" s="48">
        <v>0</v>
      </c>
      <c r="H9" s="48">
        <v>189</v>
      </c>
      <c r="I9" s="48">
        <v>0</v>
      </c>
      <c r="J9" s="48">
        <v>231</v>
      </c>
      <c r="K9" s="48">
        <v>256</v>
      </c>
    </row>
    <row r="10" spans="2:11" ht="19.5" thickBot="1">
      <c r="B10" s="45" t="s">
        <v>39</v>
      </c>
      <c r="C10" s="33"/>
      <c r="D10" s="34"/>
      <c r="E10" s="43">
        <f>SUM(E6:E9)</f>
        <v>0</v>
      </c>
      <c r="F10" s="43">
        <f aca="true" t="shared" si="0" ref="F10:K10">SUM(F6:F9)</f>
        <v>0</v>
      </c>
      <c r="G10" s="43">
        <f t="shared" si="0"/>
        <v>0</v>
      </c>
      <c r="H10" s="43">
        <f t="shared" si="0"/>
        <v>2917</v>
      </c>
      <c r="I10" s="43">
        <f t="shared" si="0"/>
        <v>0</v>
      </c>
      <c r="J10" s="43">
        <f t="shared" si="0"/>
        <v>3235</v>
      </c>
      <c r="K10" s="44">
        <f t="shared" si="0"/>
        <v>3464</v>
      </c>
    </row>
    <row r="11" spans="2:11" ht="18.75">
      <c r="B11" s="35" t="s">
        <v>99</v>
      </c>
      <c r="C11" s="36"/>
      <c r="D11" s="42"/>
      <c r="E11" s="46">
        <v>0</v>
      </c>
      <c r="F11" s="46">
        <v>0</v>
      </c>
      <c r="G11" s="46">
        <v>0</v>
      </c>
      <c r="H11" s="46">
        <v>450</v>
      </c>
      <c r="I11" s="46">
        <v>0</v>
      </c>
      <c r="J11" s="46">
        <v>450</v>
      </c>
      <c r="K11" s="46">
        <v>450</v>
      </c>
    </row>
    <row r="12" spans="2:11" ht="19.5" thickBot="1">
      <c r="B12" s="39" t="s">
        <v>100</v>
      </c>
      <c r="C12" s="40"/>
      <c r="D12" s="76"/>
      <c r="E12" s="48">
        <v>0</v>
      </c>
      <c r="F12" s="48">
        <v>0</v>
      </c>
      <c r="G12" s="48">
        <v>0</v>
      </c>
      <c r="H12" s="48">
        <v>800</v>
      </c>
      <c r="I12" s="48">
        <v>0</v>
      </c>
      <c r="J12" s="48">
        <v>1000</v>
      </c>
      <c r="K12" s="48">
        <v>1200</v>
      </c>
    </row>
    <row r="13" spans="2:11" ht="19.5" thickBot="1">
      <c r="B13" s="77" t="s">
        <v>65</v>
      </c>
      <c r="C13" s="78"/>
      <c r="D13" s="79">
        <v>0.075</v>
      </c>
      <c r="E13" s="80">
        <f>+$D$13*SUM(E10:E12)</f>
        <v>0</v>
      </c>
      <c r="F13" s="80">
        <f aca="true" t="shared" si="1" ref="F13:K13">+$D$13*SUM(F10:F12)</f>
        <v>0</v>
      </c>
      <c r="G13" s="80">
        <f t="shared" si="1"/>
        <v>0</v>
      </c>
      <c r="H13" s="80">
        <f t="shared" si="1"/>
        <v>312.525</v>
      </c>
      <c r="I13" s="80">
        <f t="shared" si="1"/>
        <v>0</v>
      </c>
      <c r="J13" s="80">
        <f t="shared" si="1"/>
        <v>351.375</v>
      </c>
      <c r="K13" s="81">
        <f t="shared" si="1"/>
        <v>383.55</v>
      </c>
    </row>
    <row r="14" spans="2:11" ht="20.25" thickBot="1">
      <c r="B14" s="54" t="s">
        <v>66</v>
      </c>
      <c r="C14" s="56"/>
      <c r="D14" s="57"/>
      <c r="E14" s="58">
        <f>SUM(E10:E13)</f>
        <v>0</v>
      </c>
      <c r="F14" s="58">
        <f aca="true" t="shared" si="2" ref="F14:K14">SUM(F10:F13)</f>
        <v>0</v>
      </c>
      <c r="G14" s="58">
        <f t="shared" si="2"/>
        <v>0</v>
      </c>
      <c r="H14" s="58">
        <f t="shared" si="2"/>
        <v>4479.525</v>
      </c>
      <c r="I14" s="58">
        <f t="shared" si="2"/>
        <v>0</v>
      </c>
      <c r="J14" s="58">
        <f t="shared" si="2"/>
        <v>5036.375</v>
      </c>
      <c r="K14" s="59">
        <f t="shared" si="2"/>
        <v>5497.55</v>
      </c>
    </row>
    <row r="15" spans="2:11" ht="19.5" thickBot="1">
      <c r="B15" s="24"/>
      <c r="C15" s="3"/>
      <c r="D15" s="12"/>
      <c r="E15" s="14"/>
      <c r="F15" s="14"/>
      <c r="G15" s="14"/>
      <c r="H15" s="14"/>
      <c r="I15" s="14"/>
      <c r="J15" s="14"/>
      <c r="K15" s="14"/>
    </row>
    <row r="16" spans="2:11" ht="18.75">
      <c r="B16" s="25" t="s">
        <v>42</v>
      </c>
      <c r="C16" s="8"/>
      <c r="D16" s="11"/>
      <c r="E16" s="60">
        <v>0</v>
      </c>
      <c r="F16" s="60">
        <v>0</v>
      </c>
      <c r="G16" s="60">
        <v>0</v>
      </c>
      <c r="H16" s="60">
        <v>350</v>
      </c>
      <c r="I16" s="60">
        <v>0</v>
      </c>
      <c r="J16" s="60">
        <v>350</v>
      </c>
      <c r="K16" s="60">
        <v>350</v>
      </c>
    </row>
    <row r="17" spans="2:11" ht="18.75">
      <c r="B17" s="21" t="s">
        <v>1</v>
      </c>
      <c r="C17" s="8"/>
      <c r="D17" s="11"/>
      <c r="E17" s="60">
        <v>0</v>
      </c>
      <c r="F17" s="60">
        <v>0</v>
      </c>
      <c r="G17" s="60">
        <v>0</v>
      </c>
      <c r="H17" s="60">
        <v>750</v>
      </c>
      <c r="I17" s="60">
        <v>0</v>
      </c>
      <c r="J17" s="60">
        <v>750</v>
      </c>
      <c r="K17" s="60">
        <v>750</v>
      </c>
    </row>
    <row r="18" spans="2:11" ht="18.75">
      <c r="B18" s="22" t="s">
        <v>6</v>
      </c>
      <c r="C18" s="9"/>
      <c r="D18" s="16"/>
      <c r="E18" s="61">
        <v>0</v>
      </c>
      <c r="F18" s="61">
        <v>0</v>
      </c>
      <c r="G18" s="61">
        <v>0</v>
      </c>
      <c r="H18" s="61">
        <v>15</v>
      </c>
      <c r="I18" s="61">
        <v>0</v>
      </c>
      <c r="J18" s="61">
        <v>15</v>
      </c>
      <c r="K18" s="61">
        <v>15</v>
      </c>
    </row>
    <row r="19" spans="2:11" ht="18.75">
      <c r="B19" s="21" t="s">
        <v>101</v>
      </c>
      <c r="C19" s="8"/>
      <c r="D19" s="11"/>
      <c r="E19" s="60">
        <v>0</v>
      </c>
      <c r="F19" s="60">
        <v>0</v>
      </c>
      <c r="G19" s="60">
        <v>0</v>
      </c>
      <c r="H19" s="60">
        <v>190</v>
      </c>
      <c r="I19" s="60">
        <v>0</v>
      </c>
      <c r="J19" s="60">
        <v>190</v>
      </c>
      <c r="K19" s="60">
        <v>190</v>
      </c>
    </row>
    <row r="20" spans="2:11" ht="18.75">
      <c r="B20" s="21" t="s">
        <v>23</v>
      </c>
      <c r="C20" s="8"/>
      <c r="D20" s="11"/>
      <c r="E20" s="60">
        <v>0</v>
      </c>
      <c r="F20" s="60">
        <v>0</v>
      </c>
      <c r="G20" s="60">
        <v>0</v>
      </c>
      <c r="H20" s="60">
        <v>35</v>
      </c>
      <c r="I20" s="60">
        <v>0</v>
      </c>
      <c r="J20" s="60">
        <v>35</v>
      </c>
      <c r="K20" s="60">
        <v>35</v>
      </c>
    </row>
    <row r="21" spans="2:11" ht="18.75">
      <c r="B21" s="21" t="s">
        <v>41</v>
      </c>
      <c r="C21" s="8"/>
      <c r="D21" s="11"/>
      <c r="E21" s="60">
        <v>0</v>
      </c>
      <c r="F21" s="60">
        <v>0</v>
      </c>
      <c r="G21" s="60">
        <v>0</v>
      </c>
      <c r="H21" s="60">
        <v>50</v>
      </c>
      <c r="I21" s="60">
        <v>0</v>
      </c>
      <c r="J21" s="60">
        <v>50</v>
      </c>
      <c r="K21" s="60">
        <v>50</v>
      </c>
    </row>
    <row r="22" spans="2:11" ht="18.75">
      <c r="B22" s="21" t="s">
        <v>98</v>
      </c>
      <c r="C22" s="8"/>
      <c r="D22" s="11"/>
      <c r="E22" s="60">
        <v>0</v>
      </c>
      <c r="F22" s="60">
        <v>0</v>
      </c>
      <c r="G22" s="60">
        <v>0</v>
      </c>
      <c r="H22" s="60">
        <v>25</v>
      </c>
      <c r="I22" s="60">
        <v>0</v>
      </c>
      <c r="J22" s="60">
        <v>25</v>
      </c>
      <c r="K22" s="60">
        <v>25</v>
      </c>
    </row>
    <row r="23" spans="2:11" ht="18.75">
      <c r="B23" s="21" t="s">
        <v>29</v>
      </c>
      <c r="C23" s="8"/>
      <c r="D23" s="11"/>
      <c r="E23" s="60">
        <v>0</v>
      </c>
      <c r="F23" s="60">
        <v>0</v>
      </c>
      <c r="G23" s="60">
        <v>0</v>
      </c>
      <c r="H23" s="60">
        <v>50</v>
      </c>
      <c r="I23" s="60">
        <v>0</v>
      </c>
      <c r="J23" s="60">
        <v>50</v>
      </c>
      <c r="K23" s="60">
        <v>50</v>
      </c>
    </row>
    <row r="24" spans="2:11" ht="19.5" thickBot="1">
      <c r="B24" s="30" t="s">
        <v>24</v>
      </c>
      <c r="C24" s="31"/>
      <c r="D24" s="67"/>
      <c r="E24" s="68">
        <v>0</v>
      </c>
      <c r="F24" s="68">
        <v>0</v>
      </c>
      <c r="G24" s="68">
        <v>0</v>
      </c>
      <c r="H24" s="68">
        <v>60</v>
      </c>
      <c r="I24" s="68">
        <v>0</v>
      </c>
      <c r="J24" s="68">
        <v>60</v>
      </c>
      <c r="K24" s="68">
        <v>60</v>
      </c>
    </row>
    <row r="25" spans="2:11" ht="19.5" thickBot="1">
      <c r="B25" s="32" t="s">
        <v>20</v>
      </c>
      <c r="C25" s="33"/>
      <c r="D25" s="34"/>
      <c r="E25" s="73">
        <f>SUM(E16:E24)</f>
        <v>0</v>
      </c>
      <c r="F25" s="73">
        <f aca="true" t="shared" si="3" ref="F25:K25">SUM(F16:F24)</f>
        <v>0</v>
      </c>
      <c r="G25" s="73">
        <f t="shared" si="3"/>
        <v>0</v>
      </c>
      <c r="H25" s="73">
        <f t="shared" si="3"/>
        <v>1525</v>
      </c>
      <c r="I25" s="73">
        <f t="shared" si="3"/>
        <v>0</v>
      </c>
      <c r="J25" s="73">
        <f t="shared" si="3"/>
        <v>1525</v>
      </c>
      <c r="K25" s="74">
        <f t="shared" si="3"/>
        <v>1525</v>
      </c>
    </row>
    <row r="26" spans="2:11" ht="19.5" thickBot="1">
      <c r="B26" s="69" t="s">
        <v>65</v>
      </c>
      <c r="C26" s="70"/>
      <c r="D26" s="71">
        <v>0.075</v>
      </c>
      <c r="E26" s="72">
        <f>+$D$26*SUM(E16:E24)</f>
        <v>0</v>
      </c>
      <c r="F26" s="72">
        <f aca="true" t="shared" si="4" ref="F26:K26">+$D$26*SUM(F16:F24)</f>
        <v>0</v>
      </c>
      <c r="G26" s="72">
        <f t="shared" si="4"/>
        <v>0</v>
      </c>
      <c r="H26" s="72">
        <f t="shared" si="4"/>
        <v>114.375</v>
      </c>
      <c r="I26" s="72">
        <f t="shared" si="4"/>
        <v>0</v>
      </c>
      <c r="J26" s="72">
        <f t="shared" si="4"/>
        <v>114.375</v>
      </c>
      <c r="K26" s="75">
        <f t="shared" si="4"/>
        <v>114.375</v>
      </c>
    </row>
    <row r="27" spans="2:11" ht="20.25" thickBot="1">
      <c r="B27" s="54" t="s">
        <v>40</v>
      </c>
      <c r="C27" s="65"/>
      <c r="D27" s="66"/>
      <c r="E27" s="63">
        <f aca="true" t="shared" si="5" ref="E27:J27">SUM(E25:E26)</f>
        <v>0</v>
      </c>
      <c r="F27" s="63">
        <f t="shared" si="5"/>
        <v>0</v>
      </c>
      <c r="G27" s="63">
        <f t="shared" si="5"/>
        <v>0</v>
      </c>
      <c r="H27" s="63">
        <f t="shared" si="5"/>
        <v>1639.375</v>
      </c>
      <c r="I27" s="63">
        <f t="shared" si="5"/>
        <v>0</v>
      </c>
      <c r="J27" s="63">
        <f t="shared" si="5"/>
        <v>1639.375</v>
      </c>
      <c r="K27" s="64">
        <f>SUM(K25)</f>
        <v>1525</v>
      </c>
    </row>
    <row r="28" spans="2:11" ht="19.5" thickBot="1">
      <c r="B28" s="26"/>
      <c r="C28" s="2"/>
      <c r="D28" s="13"/>
      <c r="E28" s="15"/>
      <c r="F28" s="15"/>
      <c r="G28" s="15"/>
      <c r="H28" s="15"/>
      <c r="I28" s="15"/>
      <c r="J28" s="15"/>
      <c r="K28" s="15"/>
    </row>
    <row r="29" spans="2:11" ht="19.5" thickBot="1">
      <c r="B29" s="26"/>
      <c r="C29" s="88" t="s">
        <v>43</v>
      </c>
      <c r="D29" s="89" t="s">
        <v>44</v>
      </c>
      <c r="E29" s="15"/>
      <c r="F29" s="15"/>
      <c r="G29" s="15"/>
      <c r="H29" s="15"/>
      <c r="I29" s="15"/>
      <c r="J29" s="15"/>
      <c r="K29" s="15"/>
    </row>
    <row r="30" spans="2:11" ht="18.75">
      <c r="B30" s="25" t="s">
        <v>67</v>
      </c>
      <c r="C30" s="86">
        <v>35</v>
      </c>
      <c r="D30" s="87">
        <v>20</v>
      </c>
      <c r="E30" s="82">
        <f>+$C$30*$D$30</f>
        <v>700</v>
      </c>
      <c r="F30" s="82">
        <f aca="true" t="shared" si="6" ref="F30:K30">+$C$30*$D$30</f>
        <v>700</v>
      </c>
      <c r="G30" s="82">
        <f t="shared" si="6"/>
        <v>700</v>
      </c>
      <c r="H30" s="82">
        <f t="shared" si="6"/>
        <v>700</v>
      </c>
      <c r="I30" s="82">
        <f t="shared" si="6"/>
        <v>700</v>
      </c>
      <c r="J30" s="82">
        <f t="shared" si="6"/>
        <v>700</v>
      </c>
      <c r="K30" s="82">
        <f t="shared" si="6"/>
        <v>700</v>
      </c>
    </row>
    <row r="31" spans="2:11" ht="18.75">
      <c r="B31" s="21" t="s">
        <v>45</v>
      </c>
      <c r="C31" s="83">
        <v>0</v>
      </c>
      <c r="D31" s="85">
        <f>+D30*1.5</f>
        <v>30</v>
      </c>
      <c r="E31" s="82">
        <f>+$C$31*$D$31</f>
        <v>0</v>
      </c>
      <c r="F31" s="82">
        <f aca="true" t="shared" si="7" ref="F31:K31">+$C$31*$D$31</f>
        <v>0</v>
      </c>
      <c r="G31" s="82">
        <f t="shared" si="7"/>
        <v>0</v>
      </c>
      <c r="H31" s="82">
        <f t="shared" si="7"/>
        <v>0</v>
      </c>
      <c r="I31" s="82">
        <f t="shared" si="7"/>
        <v>0</v>
      </c>
      <c r="J31" s="82">
        <f t="shared" si="7"/>
        <v>0</v>
      </c>
      <c r="K31" s="82">
        <f t="shared" si="7"/>
        <v>0</v>
      </c>
    </row>
    <row r="32" spans="2:11" ht="18.75">
      <c r="B32" s="21" t="s">
        <v>47</v>
      </c>
      <c r="C32" s="83">
        <v>4</v>
      </c>
      <c r="D32" s="84">
        <v>20</v>
      </c>
      <c r="E32" s="82">
        <f>+$C$32*$D$32</f>
        <v>80</v>
      </c>
      <c r="F32" s="82">
        <f aca="true" t="shared" si="8" ref="F32:K32">+$C$32*$D$32</f>
        <v>80</v>
      </c>
      <c r="G32" s="82">
        <f t="shared" si="8"/>
        <v>80</v>
      </c>
      <c r="H32" s="82">
        <f t="shared" si="8"/>
        <v>80</v>
      </c>
      <c r="I32" s="82">
        <f t="shared" si="8"/>
        <v>80</v>
      </c>
      <c r="J32" s="82">
        <f t="shared" si="8"/>
        <v>80</v>
      </c>
      <c r="K32" s="82">
        <f t="shared" si="8"/>
        <v>80</v>
      </c>
    </row>
    <row r="33" spans="2:11" ht="18.75">
      <c r="B33" s="21" t="s">
        <v>46</v>
      </c>
      <c r="C33" s="83">
        <v>0</v>
      </c>
      <c r="D33" s="84">
        <v>20</v>
      </c>
      <c r="E33" s="82">
        <f>+$C$33*$D$33</f>
        <v>0</v>
      </c>
      <c r="F33" s="82">
        <f aca="true" t="shared" si="9" ref="F33:K33">+$C$33*$D$33</f>
        <v>0</v>
      </c>
      <c r="G33" s="82">
        <f t="shared" si="9"/>
        <v>0</v>
      </c>
      <c r="H33" s="82">
        <f t="shared" si="9"/>
        <v>0</v>
      </c>
      <c r="I33" s="82">
        <f t="shared" si="9"/>
        <v>0</v>
      </c>
      <c r="J33" s="82">
        <f t="shared" si="9"/>
        <v>0</v>
      </c>
      <c r="K33" s="82">
        <f t="shared" si="9"/>
        <v>0</v>
      </c>
    </row>
    <row r="34" spans="2:11" ht="18.75">
      <c r="B34" s="21" t="s">
        <v>48</v>
      </c>
      <c r="C34" s="8"/>
      <c r="D34" s="11"/>
      <c r="E34" s="62">
        <f>SUM(E30:E33)</f>
        <v>780</v>
      </c>
      <c r="F34" s="62">
        <f aca="true" t="shared" si="10" ref="F34:K34">SUM(F30:F33)</f>
        <v>780</v>
      </c>
      <c r="G34" s="62">
        <f t="shared" si="10"/>
        <v>780</v>
      </c>
      <c r="H34" s="62">
        <f t="shared" si="10"/>
        <v>780</v>
      </c>
      <c r="I34" s="62">
        <f t="shared" si="10"/>
        <v>780</v>
      </c>
      <c r="J34" s="62">
        <f t="shared" si="10"/>
        <v>780</v>
      </c>
      <c r="K34" s="62">
        <f t="shared" si="10"/>
        <v>780</v>
      </c>
    </row>
    <row r="35" spans="2:11" ht="19.5" thickBot="1">
      <c r="B35" s="23" t="s">
        <v>26</v>
      </c>
      <c r="C35" s="17"/>
      <c r="D35" s="18"/>
      <c r="E35" s="62">
        <f aca="true" t="shared" si="11" ref="E35:K35">E34*0.24</f>
        <v>187.2</v>
      </c>
      <c r="F35" s="62">
        <f t="shared" si="11"/>
        <v>187.2</v>
      </c>
      <c r="G35" s="62">
        <f t="shared" si="11"/>
        <v>187.2</v>
      </c>
      <c r="H35" s="62">
        <f t="shared" si="11"/>
        <v>187.2</v>
      </c>
      <c r="I35" s="62">
        <f t="shared" si="11"/>
        <v>187.2</v>
      </c>
      <c r="J35" s="62">
        <f t="shared" si="11"/>
        <v>187.2</v>
      </c>
      <c r="K35" s="62">
        <f t="shared" si="11"/>
        <v>187.2</v>
      </c>
    </row>
    <row r="36" spans="2:11" ht="19.5" thickBot="1">
      <c r="B36" s="24"/>
      <c r="C36" s="3"/>
      <c r="D36" s="12"/>
      <c r="E36" s="14"/>
      <c r="F36" s="14"/>
      <c r="G36" s="14"/>
      <c r="H36" s="14"/>
      <c r="I36" s="14"/>
      <c r="J36" s="14"/>
      <c r="K36" s="14"/>
    </row>
    <row r="37" spans="2:11" ht="18.75">
      <c r="B37" s="25" t="s">
        <v>35</v>
      </c>
      <c r="C37" s="8"/>
      <c r="D37" s="11"/>
      <c r="E37" s="90">
        <v>50</v>
      </c>
      <c r="F37" s="90">
        <v>50</v>
      </c>
      <c r="G37" s="90">
        <v>50</v>
      </c>
      <c r="H37" s="90">
        <v>50</v>
      </c>
      <c r="I37" s="90">
        <v>50</v>
      </c>
      <c r="J37" s="90">
        <v>50</v>
      </c>
      <c r="K37" s="90">
        <v>50</v>
      </c>
    </row>
    <row r="38" spans="2:11" ht="18.75" customHeight="1">
      <c r="B38" s="21" t="s">
        <v>25</v>
      </c>
      <c r="C38" s="17"/>
      <c r="D38" s="11"/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</row>
    <row r="39" spans="2:11" ht="18.75">
      <c r="B39" s="21" t="s">
        <v>95</v>
      </c>
      <c r="C39" s="8"/>
      <c r="D39" s="11"/>
      <c r="E39" s="90">
        <v>0</v>
      </c>
      <c r="F39" s="90">
        <v>0</v>
      </c>
      <c r="G39" s="90">
        <v>0</v>
      </c>
      <c r="H39" s="90">
        <v>60</v>
      </c>
      <c r="I39" s="90">
        <v>60</v>
      </c>
      <c r="J39" s="90">
        <v>60</v>
      </c>
      <c r="K39" s="90">
        <v>60</v>
      </c>
    </row>
    <row r="40" spans="2:11" ht="18.75">
      <c r="B40" s="21" t="s">
        <v>15</v>
      </c>
      <c r="C40" s="8"/>
      <c r="D40" s="11"/>
      <c r="E40" s="90">
        <v>75</v>
      </c>
      <c r="F40" s="90">
        <v>75</v>
      </c>
      <c r="G40" s="90">
        <v>75</v>
      </c>
      <c r="H40" s="90">
        <v>75</v>
      </c>
      <c r="I40" s="90">
        <v>75</v>
      </c>
      <c r="J40" s="90">
        <v>75</v>
      </c>
      <c r="K40" s="90">
        <v>75</v>
      </c>
    </row>
    <row r="41" spans="2:11" ht="18.75">
      <c r="B41" s="27"/>
      <c r="C41" s="3"/>
      <c r="D41" s="3"/>
      <c r="E41" s="4"/>
      <c r="F41" s="4"/>
      <c r="G41" s="4"/>
      <c r="H41" s="4"/>
      <c r="I41" s="4"/>
      <c r="J41" s="4"/>
      <c r="K41" s="4"/>
    </row>
    <row r="42" spans="2:11" ht="18.75">
      <c r="B42" s="22" t="s">
        <v>68</v>
      </c>
      <c r="C42" s="9"/>
      <c r="D42" s="91">
        <v>0.3</v>
      </c>
      <c r="E42" s="4"/>
      <c r="F42" s="4"/>
      <c r="G42" s="4"/>
      <c r="H42" s="4"/>
      <c r="I42" s="4"/>
      <c r="J42" s="4"/>
      <c r="K42" s="4"/>
    </row>
    <row r="43" spans="2:11" ht="18.75">
      <c r="B43" s="22" t="s">
        <v>37</v>
      </c>
      <c r="C43" s="9"/>
      <c r="D43" s="91">
        <v>0.05</v>
      </c>
      <c r="E43" s="4"/>
      <c r="F43" s="4"/>
      <c r="G43" s="4"/>
      <c r="H43" s="4"/>
      <c r="I43" s="4"/>
      <c r="J43" s="4"/>
      <c r="K43" s="4"/>
    </row>
    <row r="44" spans="2:11" ht="19.5" thickBot="1">
      <c r="B44" s="28" t="s">
        <v>30</v>
      </c>
      <c r="C44" s="9"/>
      <c r="D44" s="91">
        <v>0.15</v>
      </c>
      <c r="E44" s="4"/>
      <c r="F44" s="4"/>
      <c r="G44" s="4"/>
      <c r="H44" s="4"/>
      <c r="I44" s="4"/>
      <c r="J44" s="4"/>
      <c r="K44" s="4"/>
    </row>
    <row r="45" spans="2:11" ht="19.5" thickBot="1">
      <c r="B45" s="24"/>
      <c r="C45" s="3"/>
      <c r="D45" s="3"/>
      <c r="E45" s="4"/>
      <c r="F45" s="4"/>
      <c r="G45" s="4"/>
      <c r="H45" s="4"/>
      <c r="I45" s="4"/>
      <c r="J45" s="4"/>
      <c r="K45" s="4"/>
    </row>
    <row r="46" spans="2:11" ht="19.5" thickBot="1">
      <c r="B46" s="54" t="s">
        <v>70</v>
      </c>
      <c r="C46" s="99"/>
      <c r="D46" s="100"/>
      <c r="E46" s="97">
        <f aca="true" t="shared" si="12" ref="E46:K46">SUM(E37+E34+E27+E14+E35+E39+E38+E40)</f>
        <v>1092.2</v>
      </c>
      <c r="F46" s="97">
        <f t="shared" si="12"/>
        <v>1092.2</v>
      </c>
      <c r="G46" s="97">
        <f t="shared" si="12"/>
        <v>1092.2</v>
      </c>
      <c r="H46" s="97">
        <f t="shared" si="12"/>
        <v>7271.099999999999</v>
      </c>
      <c r="I46" s="97">
        <f t="shared" si="12"/>
        <v>1152.2</v>
      </c>
      <c r="J46" s="97">
        <f t="shared" si="12"/>
        <v>7827.95</v>
      </c>
      <c r="K46" s="98">
        <f t="shared" si="12"/>
        <v>8174.75</v>
      </c>
    </row>
    <row r="47" spans="2:11" ht="19.5" thickBot="1">
      <c r="B47" s="93" t="s">
        <v>69</v>
      </c>
      <c r="C47" s="19"/>
      <c r="D47" s="94"/>
      <c r="E47" s="95">
        <f>SUM($D$42:$D$44)</f>
        <v>0.5</v>
      </c>
      <c r="F47" s="95">
        <f aca="true" t="shared" si="13" ref="F47:K47">SUM($D$42:$D$44)</f>
        <v>0.5</v>
      </c>
      <c r="G47" s="95">
        <f t="shared" si="13"/>
        <v>0.5</v>
      </c>
      <c r="H47" s="95">
        <f t="shared" si="13"/>
        <v>0.5</v>
      </c>
      <c r="I47" s="95">
        <f t="shared" si="13"/>
        <v>0.5</v>
      </c>
      <c r="J47" s="95">
        <f t="shared" si="13"/>
        <v>0.5</v>
      </c>
      <c r="K47" s="109">
        <f t="shared" si="13"/>
        <v>0.5</v>
      </c>
    </row>
    <row r="48" spans="2:11" ht="19.5" thickBot="1">
      <c r="B48" s="54" t="s">
        <v>36</v>
      </c>
      <c r="C48" s="55"/>
      <c r="D48" s="96"/>
      <c r="E48" s="97">
        <f>E49-E46</f>
        <v>1092.2</v>
      </c>
      <c r="F48" s="97">
        <f aca="true" t="shared" si="14" ref="F48:K48">F49-F46</f>
        <v>1092.2</v>
      </c>
      <c r="G48" s="97">
        <f t="shared" si="14"/>
        <v>1092.2</v>
      </c>
      <c r="H48" s="97">
        <f t="shared" si="14"/>
        <v>7271.099999999999</v>
      </c>
      <c r="I48" s="97">
        <f t="shared" si="14"/>
        <v>1152.2</v>
      </c>
      <c r="J48" s="97">
        <f t="shared" si="14"/>
        <v>7827.95</v>
      </c>
      <c r="K48" s="98">
        <f t="shared" si="14"/>
        <v>8174.75</v>
      </c>
    </row>
    <row r="49" spans="2:11" ht="18.75">
      <c r="B49" s="35" t="s">
        <v>71</v>
      </c>
      <c r="C49" s="36"/>
      <c r="D49" s="92"/>
      <c r="E49" s="101">
        <f>E46/(1-E47)</f>
        <v>2184.4</v>
      </c>
      <c r="F49" s="101">
        <f aca="true" t="shared" si="15" ref="F49:K49">F46/(1-F47)</f>
        <v>2184.4</v>
      </c>
      <c r="G49" s="101">
        <f t="shared" si="15"/>
        <v>2184.4</v>
      </c>
      <c r="H49" s="101">
        <f t="shared" si="15"/>
        <v>14542.199999999999</v>
      </c>
      <c r="I49" s="101">
        <f t="shared" si="15"/>
        <v>2304.4</v>
      </c>
      <c r="J49" s="101">
        <f t="shared" si="15"/>
        <v>15655.9</v>
      </c>
      <c r="K49" s="110">
        <f t="shared" si="15"/>
        <v>16349.5</v>
      </c>
    </row>
    <row r="50" spans="2:11" ht="19.5" thickBot="1">
      <c r="B50" s="23" t="s">
        <v>72</v>
      </c>
      <c r="C50" s="111"/>
      <c r="D50" s="112"/>
      <c r="E50" s="113">
        <v>0</v>
      </c>
      <c r="F50" s="113">
        <v>0</v>
      </c>
      <c r="G50" s="113">
        <v>0</v>
      </c>
      <c r="H50" s="113">
        <f>+(120+185+130)</f>
        <v>435</v>
      </c>
      <c r="I50" s="113">
        <v>0</v>
      </c>
      <c r="J50" s="113">
        <f>+(120+185+130)</f>
        <v>435</v>
      </c>
      <c r="K50" s="113">
        <f>+(120+185+130)</f>
        <v>435</v>
      </c>
    </row>
    <row r="51" spans="2:11" ht="19.5" thickBot="1">
      <c r="B51" s="106"/>
      <c r="C51" s="107"/>
      <c r="D51" s="107"/>
      <c r="E51" s="108"/>
      <c r="F51" s="108"/>
      <c r="G51" s="108"/>
      <c r="H51" s="108"/>
      <c r="I51" s="108"/>
      <c r="J51" s="108"/>
      <c r="K51" s="108"/>
    </row>
    <row r="52" spans="2:11" ht="18.75">
      <c r="B52" s="128" t="s">
        <v>76</v>
      </c>
      <c r="C52" s="115"/>
      <c r="D52" s="116"/>
      <c r="E52" s="117">
        <f aca="true" t="shared" si="16" ref="E52:K52">SUM(E49:E50)</f>
        <v>2184.4</v>
      </c>
      <c r="F52" s="117">
        <f t="shared" si="16"/>
        <v>2184.4</v>
      </c>
      <c r="G52" s="117">
        <f t="shared" si="16"/>
        <v>2184.4</v>
      </c>
      <c r="H52" s="117">
        <f t="shared" si="16"/>
        <v>14977.199999999999</v>
      </c>
      <c r="I52" s="117">
        <f t="shared" si="16"/>
        <v>2304.4</v>
      </c>
      <c r="J52" s="117">
        <f t="shared" si="16"/>
        <v>16090.9</v>
      </c>
      <c r="K52" s="118">
        <f t="shared" si="16"/>
        <v>16784.5</v>
      </c>
    </row>
    <row r="53" spans="2:11" ht="18.75">
      <c r="B53" s="129" t="s">
        <v>75</v>
      </c>
      <c r="C53" s="119"/>
      <c r="D53" s="120"/>
      <c r="E53" s="121">
        <f aca="true" t="shared" si="17" ref="E53:K53">E52/0.95</f>
        <v>2299.3684210526317</v>
      </c>
      <c r="F53" s="121">
        <f t="shared" si="17"/>
        <v>2299.3684210526317</v>
      </c>
      <c r="G53" s="121">
        <f t="shared" si="17"/>
        <v>2299.3684210526317</v>
      </c>
      <c r="H53" s="121">
        <f t="shared" si="17"/>
        <v>15765.473684210527</v>
      </c>
      <c r="I53" s="121">
        <f t="shared" si="17"/>
        <v>2425.684210526316</v>
      </c>
      <c r="J53" s="121">
        <f t="shared" si="17"/>
        <v>16937.78947368421</v>
      </c>
      <c r="K53" s="122">
        <f t="shared" si="17"/>
        <v>17667.894736842107</v>
      </c>
    </row>
    <row r="54" spans="2:11" ht="19.5" thickBot="1">
      <c r="B54" s="129" t="s">
        <v>74</v>
      </c>
      <c r="C54" s="123"/>
      <c r="D54" s="123"/>
      <c r="E54" s="124">
        <f aca="true" t="shared" si="18" ref="E54:K55">E53/0.95</f>
        <v>2420.3878116343494</v>
      </c>
      <c r="F54" s="124">
        <f t="shared" si="18"/>
        <v>2420.3878116343494</v>
      </c>
      <c r="G54" s="124">
        <f t="shared" si="18"/>
        <v>2420.3878116343494</v>
      </c>
      <c r="H54" s="124">
        <f t="shared" si="18"/>
        <v>16595.235457063714</v>
      </c>
      <c r="I54" s="124">
        <f t="shared" si="18"/>
        <v>2553.351800554017</v>
      </c>
      <c r="J54" s="124">
        <f t="shared" si="18"/>
        <v>17829.252077562327</v>
      </c>
      <c r="K54" s="125">
        <f t="shared" si="18"/>
        <v>18597.783933518007</v>
      </c>
    </row>
    <row r="55" spans="2:11" ht="19.5" thickBot="1">
      <c r="B55" s="168" t="s">
        <v>77</v>
      </c>
      <c r="C55" s="169"/>
      <c r="D55" s="170"/>
      <c r="E55" s="171">
        <f t="shared" si="18"/>
        <v>2547.7766438256313</v>
      </c>
      <c r="F55" s="171">
        <f t="shared" si="18"/>
        <v>2547.7766438256313</v>
      </c>
      <c r="G55" s="171">
        <f t="shared" si="18"/>
        <v>2547.7766438256313</v>
      </c>
      <c r="H55" s="171">
        <f t="shared" si="18"/>
        <v>17468.668902172332</v>
      </c>
      <c r="I55" s="171">
        <f t="shared" si="18"/>
        <v>2687.7387374252808</v>
      </c>
      <c r="J55" s="171">
        <f t="shared" si="18"/>
        <v>18767.633765855084</v>
      </c>
      <c r="K55" s="172">
        <f t="shared" si="18"/>
        <v>19576.61466686106</v>
      </c>
    </row>
    <row r="56" spans="2:4" ht="19.5" thickBot="1">
      <c r="B56" s="29"/>
      <c r="C56" s="20"/>
      <c r="D56" s="20"/>
    </row>
    <row r="57" spans="2:11" ht="18.75">
      <c r="B57" s="25" t="s">
        <v>62</v>
      </c>
      <c r="C57" s="102"/>
      <c r="D57" s="103"/>
      <c r="E57" s="152">
        <f>(E14)/E52</f>
        <v>0</v>
      </c>
      <c r="F57" s="152">
        <f aca="true" t="shared" si="19" ref="F57:K57">(F14-81)/F52</f>
        <v>-0.037081120673869254</v>
      </c>
      <c r="G57" s="152">
        <f t="shared" si="19"/>
        <v>-0.037081120673869254</v>
      </c>
      <c r="H57" s="152">
        <f t="shared" si="19"/>
        <v>0.29368139572149665</v>
      </c>
      <c r="I57" s="152">
        <f t="shared" si="19"/>
        <v>-0.0351501475438292</v>
      </c>
      <c r="J57" s="152">
        <f t="shared" si="19"/>
        <v>0.3079613321815436</v>
      </c>
      <c r="K57" s="153">
        <f t="shared" si="19"/>
        <v>0.32271143018856685</v>
      </c>
    </row>
    <row r="58" spans="2:11" ht="18.75">
      <c r="B58" s="21" t="s">
        <v>63</v>
      </c>
      <c r="C58" s="8"/>
      <c r="D58" s="6"/>
      <c r="E58" s="131">
        <f>+E27/E52</f>
        <v>0</v>
      </c>
      <c r="F58" s="131">
        <f aca="true" t="shared" si="20" ref="F58:K58">+F27/F52</f>
        <v>0</v>
      </c>
      <c r="G58" s="131">
        <f t="shared" si="20"/>
        <v>0</v>
      </c>
      <c r="H58" s="131">
        <f t="shared" si="20"/>
        <v>0.10945804289186231</v>
      </c>
      <c r="I58" s="131">
        <f t="shared" si="20"/>
        <v>0</v>
      </c>
      <c r="J58" s="131">
        <f t="shared" si="20"/>
        <v>0.10188211970741226</v>
      </c>
      <c r="K58" s="154">
        <f t="shared" si="20"/>
        <v>0.09085763650987519</v>
      </c>
    </row>
    <row r="59" spans="2:11" ht="18.75">
      <c r="B59" s="21" t="s">
        <v>64</v>
      </c>
      <c r="C59" s="8"/>
      <c r="D59" s="6"/>
      <c r="E59" s="131">
        <f>+E34/E52</f>
        <v>0.35707745834096316</v>
      </c>
      <c r="F59" s="131">
        <f aca="true" t="shared" si="21" ref="F59:K59">+F34/F52</f>
        <v>0.35707745834096316</v>
      </c>
      <c r="G59" s="131">
        <f t="shared" si="21"/>
        <v>0.35707745834096316</v>
      </c>
      <c r="H59" s="131">
        <f t="shared" si="21"/>
        <v>0.05207916032369202</v>
      </c>
      <c r="I59" s="131">
        <f t="shared" si="21"/>
        <v>0.33848290227391076</v>
      </c>
      <c r="J59" s="131">
        <f t="shared" si="21"/>
        <v>0.04847460365796817</v>
      </c>
      <c r="K59" s="154">
        <f t="shared" si="21"/>
        <v>0.04647144687062468</v>
      </c>
    </row>
    <row r="60" spans="2:11" ht="18.75">
      <c r="B60" s="21" t="s">
        <v>92</v>
      </c>
      <c r="C60" s="8"/>
      <c r="D60" s="6"/>
      <c r="E60" s="132">
        <f>E65/E34</f>
        <v>1.2322256410256411</v>
      </c>
      <c r="F60" s="132">
        <f aca="true" t="shared" si="22" ref="F60:K60">F65/F34</f>
        <v>1.2322256410256411</v>
      </c>
      <c r="G60" s="132">
        <f t="shared" si="22"/>
        <v>1.2322256410256411</v>
      </c>
      <c r="H60" s="132">
        <f t="shared" si="22"/>
        <v>8.727523076923077</v>
      </c>
      <c r="I60" s="132">
        <f t="shared" si="22"/>
        <v>1.2999179487179489</v>
      </c>
      <c r="J60" s="132">
        <f t="shared" si="22"/>
        <v>9.355764102564104</v>
      </c>
      <c r="K60" s="155">
        <f t="shared" si="22"/>
        <v>9.747025641025642</v>
      </c>
    </row>
    <row r="61" spans="2:11" ht="18.75">
      <c r="B61" s="22" t="s">
        <v>27</v>
      </c>
      <c r="C61" s="9"/>
      <c r="D61" s="7"/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56">
        <v>0</v>
      </c>
    </row>
    <row r="62" spans="2:11" ht="18.75">
      <c r="B62" s="22" t="s">
        <v>49</v>
      </c>
      <c r="C62" s="9"/>
      <c r="D62" s="7"/>
      <c r="E62" s="134">
        <f aca="true" t="shared" si="23" ref="E62:K62">E52*0.06</f>
        <v>131.064</v>
      </c>
      <c r="F62" s="134">
        <f t="shared" si="23"/>
        <v>131.064</v>
      </c>
      <c r="G62" s="134">
        <f t="shared" si="23"/>
        <v>131.064</v>
      </c>
      <c r="H62" s="134">
        <f t="shared" si="23"/>
        <v>898.632</v>
      </c>
      <c r="I62" s="134">
        <f t="shared" si="23"/>
        <v>138.264</v>
      </c>
      <c r="J62" s="134">
        <f t="shared" si="23"/>
        <v>965.454</v>
      </c>
      <c r="K62" s="157">
        <f t="shared" si="23"/>
        <v>1007.0699999999999</v>
      </c>
    </row>
    <row r="63" spans="2:11" ht="19.5" thickBot="1">
      <c r="B63" s="28" t="s">
        <v>34</v>
      </c>
      <c r="C63" s="104"/>
      <c r="D63" s="105"/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9">
        <v>0</v>
      </c>
    </row>
    <row r="64" spans="2:11" ht="18.75">
      <c r="B64" s="135" t="s">
        <v>16</v>
      </c>
      <c r="C64" s="136"/>
      <c r="D64" s="137"/>
      <c r="E64" s="138">
        <f aca="true" t="shared" si="24" ref="E64:K64">SUM(E61:E63)</f>
        <v>131.064</v>
      </c>
      <c r="F64" s="138">
        <f t="shared" si="24"/>
        <v>131.064</v>
      </c>
      <c r="G64" s="138">
        <f t="shared" si="24"/>
        <v>131.064</v>
      </c>
      <c r="H64" s="138">
        <f t="shared" si="24"/>
        <v>898.632</v>
      </c>
      <c r="I64" s="138">
        <f t="shared" si="24"/>
        <v>138.264</v>
      </c>
      <c r="J64" s="138">
        <f t="shared" si="24"/>
        <v>965.454</v>
      </c>
      <c r="K64" s="139">
        <f t="shared" si="24"/>
        <v>1007.0699999999999</v>
      </c>
    </row>
    <row r="65" spans="2:11" ht="18.75">
      <c r="B65" s="22" t="s">
        <v>17</v>
      </c>
      <c r="C65" s="9"/>
      <c r="D65" s="7"/>
      <c r="E65" s="134">
        <f aca="true" t="shared" si="25" ref="E65:K65">E52-E46-E64</f>
        <v>961.1360000000001</v>
      </c>
      <c r="F65" s="134">
        <f t="shared" si="25"/>
        <v>961.1360000000001</v>
      </c>
      <c r="G65" s="134">
        <f t="shared" si="25"/>
        <v>961.1360000000001</v>
      </c>
      <c r="H65" s="134">
        <f t="shared" si="25"/>
        <v>6807.468</v>
      </c>
      <c r="I65" s="134">
        <f t="shared" si="25"/>
        <v>1013.936</v>
      </c>
      <c r="J65" s="134">
        <f t="shared" si="25"/>
        <v>7297.496000000001</v>
      </c>
      <c r="K65" s="157">
        <f t="shared" si="25"/>
        <v>7602.68</v>
      </c>
    </row>
    <row r="66" spans="2:11" ht="19.5" thickBot="1">
      <c r="B66" s="28" t="s">
        <v>59</v>
      </c>
      <c r="C66" s="104"/>
      <c r="D66" s="105"/>
      <c r="E66" s="160">
        <f aca="true" t="shared" si="26" ref="E66:K66">E65/E52</f>
        <v>0.44</v>
      </c>
      <c r="F66" s="160">
        <f t="shared" si="26"/>
        <v>0.44</v>
      </c>
      <c r="G66" s="160">
        <f t="shared" si="26"/>
        <v>0.44</v>
      </c>
      <c r="H66" s="160">
        <f t="shared" si="26"/>
        <v>0.45452207355179874</v>
      </c>
      <c r="I66" s="160">
        <f t="shared" si="26"/>
        <v>0.44</v>
      </c>
      <c r="J66" s="160">
        <f t="shared" si="26"/>
        <v>0.4535169567892412</v>
      </c>
      <c r="K66" s="161">
        <f t="shared" si="26"/>
        <v>0.45295838422353957</v>
      </c>
    </row>
    <row r="67" spans="2:11" ht="19.5" thickBot="1">
      <c r="B67" s="162" t="s">
        <v>73</v>
      </c>
      <c r="C67" s="163"/>
      <c r="D67" s="164"/>
      <c r="E67" s="165">
        <f>E52*$D$42</f>
        <v>655.32</v>
      </c>
      <c r="F67" s="165">
        <f aca="true" t="shared" si="27" ref="F67:K67">F52*$D$42</f>
        <v>655.32</v>
      </c>
      <c r="G67" s="165">
        <f t="shared" si="27"/>
        <v>655.32</v>
      </c>
      <c r="H67" s="165">
        <f t="shared" si="27"/>
        <v>4493.16</v>
      </c>
      <c r="I67" s="165">
        <f t="shared" si="27"/>
        <v>691.32</v>
      </c>
      <c r="J67" s="165">
        <f t="shared" si="27"/>
        <v>4827.2699999999995</v>
      </c>
      <c r="K67" s="166">
        <f t="shared" si="27"/>
        <v>5035.349999999999</v>
      </c>
    </row>
    <row r="68" spans="2:11" ht="18.75">
      <c r="B68" s="140" t="s">
        <v>60</v>
      </c>
      <c r="C68" s="142"/>
      <c r="D68" s="143"/>
      <c r="E68" s="144">
        <f aca="true" t="shared" si="28" ref="E68:K68">E65-E67</f>
        <v>305.81600000000003</v>
      </c>
      <c r="F68" s="144">
        <f t="shared" si="28"/>
        <v>305.81600000000003</v>
      </c>
      <c r="G68" s="144">
        <f t="shared" si="28"/>
        <v>305.81600000000003</v>
      </c>
      <c r="H68" s="144">
        <f t="shared" si="28"/>
        <v>2314.308</v>
      </c>
      <c r="I68" s="144">
        <f t="shared" si="28"/>
        <v>322.616</v>
      </c>
      <c r="J68" s="144">
        <f t="shared" si="28"/>
        <v>2470.2260000000015</v>
      </c>
      <c r="K68" s="145">
        <f t="shared" si="28"/>
        <v>2567.330000000001</v>
      </c>
    </row>
    <row r="69" spans="2:11" ht="18.75">
      <c r="B69" s="141" t="s">
        <v>61</v>
      </c>
      <c r="C69" s="146"/>
      <c r="D69" s="147"/>
      <c r="E69" s="148">
        <f>+E68/E52</f>
        <v>0.14</v>
      </c>
      <c r="F69" s="148">
        <f aca="true" t="shared" si="29" ref="F69:K69">+F68/F52</f>
        <v>0.14</v>
      </c>
      <c r="G69" s="148">
        <f t="shared" si="29"/>
        <v>0.14</v>
      </c>
      <c r="H69" s="148">
        <f t="shared" si="29"/>
        <v>0.15452207355179876</v>
      </c>
      <c r="I69" s="148">
        <f t="shared" si="29"/>
        <v>0.13999999999999999</v>
      </c>
      <c r="J69" s="148">
        <f t="shared" si="29"/>
        <v>0.1535169567892412</v>
      </c>
      <c r="K69" s="149">
        <f t="shared" si="29"/>
        <v>0.15295838422353963</v>
      </c>
    </row>
    <row r="70" spans="2:11" ht="18.75">
      <c r="B70" s="141" t="s">
        <v>31</v>
      </c>
      <c r="C70" s="146"/>
      <c r="D70" s="147"/>
      <c r="E70" s="148">
        <f>(+E53-E46-(E53*($D$43+0.01))-E61-E63-(E53*$D$42))/E53</f>
        <v>0.16499999999999995</v>
      </c>
      <c r="F70" s="148">
        <f aca="true" t="shared" si="30" ref="F70:K70">(+F53-F46-(F53*($D$43+0.01))-F61-F63-(F53*$D$42))/F53</f>
        <v>0.16499999999999995</v>
      </c>
      <c r="G70" s="148">
        <f t="shared" si="30"/>
        <v>0.16499999999999995</v>
      </c>
      <c r="H70" s="148">
        <f t="shared" si="30"/>
        <v>0.17879596987420895</v>
      </c>
      <c r="I70" s="148">
        <f t="shared" si="30"/>
        <v>0.16500000000000006</v>
      </c>
      <c r="J70" s="148">
        <f t="shared" si="30"/>
        <v>0.177841108949779</v>
      </c>
      <c r="K70" s="149">
        <f t="shared" si="30"/>
        <v>0.1773104650123626</v>
      </c>
    </row>
    <row r="71" spans="2:11" ht="18.75">
      <c r="B71" s="141" t="s">
        <v>32</v>
      </c>
      <c r="C71" s="146"/>
      <c r="D71" s="147"/>
      <c r="E71" s="148">
        <f>(+E54-E46-(E54*($D$43+0.02))-E61-E63-(E54*$D$42))/E54</f>
        <v>0.17875000000000005</v>
      </c>
      <c r="F71" s="148">
        <f aca="true" t="shared" si="31" ref="F71:K71">(+F54-F46-(F54*($D$43+0.02))-F61-F63-(F54*$D$42))/F54</f>
        <v>0.17875000000000005</v>
      </c>
      <c r="G71" s="148">
        <f t="shared" si="31"/>
        <v>0.17875000000000005</v>
      </c>
      <c r="H71" s="148">
        <f t="shared" si="31"/>
        <v>0.1918561713804985</v>
      </c>
      <c r="I71" s="148">
        <f t="shared" si="31"/>
        <v>0.17875</v>
      </c>
      <c r="J71" s="148">
        <f t="shared" si="31"/>
        <v>0.19094905350229002</v>
      </c>
      <c r="K71" s="149">
        <f t="shared" si="31"/>
        <v>0.19044494176174454</v>
      </c>
    </row>
    <row r="72" spans="2:11" ht="19.5" thickBot="1">
      <c r="B72" s="130" t="s">
        <v>33</v>
      </c>
      <c r="C72" s="126"/>
      <c r="D72" s="127"/>
      <c r="E72" s="150">
        <f>(+E55-E46-(E55*($D$43+0.03))-E61-E63-(E55*$D$42))/E55</f>
        <v>0.19131250000000014</v>
      </c>
      <c r="F72" s="150">
        <f aca="true" t="shared" si="32" ref="F72:K72">(+F55-F46-(F55*($D$43+0.03))-F61-F63-(F55*$D$42))/F55</f>
        <v>0.19131250000000014</v>
      </c>
      <c r="G72" s="150">
        <f t="shared" si="32"/>
        <v>0.19131250000000014</v>
      </c>
      <c r="H72" s="150">
        <f t="shared" si="32"/>
        <v>0.20376336281147361</v>
      </c>
      <c r="I72" s="150">
        <f t="shared" si="32"/>
        <v>0.19131250000000002</v>
      </c>
      <c r="J72" s="150">
        <f t="shared" si="32"/>
        <v>0.20290160082717562</v>
      </c>
      <c r="K72" s="151">
        <f t="shared" si="32"/>
        <v>0.20242269467365726</v>
      </c>
    </row>
  </sheetData>
  <sheetProtection/>
  <mergeCells count="1">
    <mergeCell ref="B4:K4"/>
  </mergeCells>
  <printOptions horizontalCentered="1" verticalCentered="1"/>
  <pageMargins left="0.25" right="0.25" top="0" bottom="0" header="0" footer="0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zoomScalePageLayoutView="0" workbookViewId="0" topLeftCell="A1">
      <selection activeCell="B45" sqref="B45"/>
    </sheetView>
  </sheetViews>
  <sheetFormatPr defaultColWidth="9.140625" defaultRowHeight="12.75"/>
  <cols>
    <col min="2" max="2" width="65.7109375" style="0" customWidth="1"/>
    <col min="3" max="3" width="9.28125" style="0" bestFit="1" customWidth="1"/>
    <col min="4" max="4" width="12.00390625" style="0" customWidth="1"/>
    <col min="5" max="5" width="14.57421875" style="0" hidden="1" customWidth="1"/>
    <col min="6" max="6" width="16.140625" style="0" hidden="1" customWidth="1"/>
    <col min="7" max="7" width="13.8515625" style="0" customWidth="1"/>
    <col min="8" max="8" width="15.140625" style="0" customWidth="1"/>
    <col min="9" max="9" width="13.57421875" style="0" customWidth="1"/>
    <col min="10" max="10" width="11.8515625" style="0" customWidth="1"/>
    <col min="11" max="11" width="13.57421875" style="0" customWidth="1"/>
  </cols>
  <sheetData>
    <row r="1" spans="1:12" ht="20.25">
      <c r="A1" s="2"/>
      <c r="B1" s="173" t="s">
        <v>90</v>
      </c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2"/>
      <c r="B2" s="222" t="s">
        <v>13</v>
      </c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1:12" ht="27" thickBot="1">
      <c r="A4" s="2"/>
      <c r="B4" s="377" t="s">
        <v>88</v>
      </c>
      <c r="C4" s="377"/>
      <c r="D4" s="377"/>
      <c r="E4" s="377"/>
      <c r="F4" s="377"/>
      <c r="G4" s="377"/>
      <c r="H4" s="377"/>
      <c r="I4" s="377"/>
      <c r="J4" s="377"/>
      <c r="K4" s="377"/>
      <c r="L4" s="2"/>
    </row>
    <row r="5" spans="1:12" ht="19.5" thickBot="1">
      <c r="A5" s="5"/>
      <c r="B5" s="38"/>
      <c r="C5" s="49" t="s">
        <v>57</v>
      </c>
      <c r="D5" s="50" t="s">
        <v>58</v>
      </c>
      <c r="E5" s="51" t="s">
        <v>50</v>
      </c>
      <c r="F5" s="52" t="s">
        <v>51</v>
      </c>
      <c r="G5" s="52" t="s">
        <v>53</v>
      </c>
      <c r="H5" s="221" t="s">
        <v>52</v>
      </c>
      <c r="I5" s="221" t="s">
        <v>54</v>
      </c>
      <c r="J5" s="52" t="s">
        <v>55</v>
      </c>
      <c r="K5" s="53" t="s">
        <v>56</v>
      </c>
      <c r="L5" s="5"/>
    </row>
    <row r="6" spans="1:12" ht="18.75">
      <c r="A6" s="2"/>
      <c r="B6" s="174" t="s">
        <v>81</v>
      </c>
      <c r="C6" s="185"/>
      <c r="D6" s="186"/>
      <c r="E6" s="187">
        <v>0</v>
      </c>
      <c r="F6" s="187">
        <v>0</v>
      </c>
      <c r="G6" s="187">
        <v>1035</v>
      </c>
      <c r="H6" s="187">
        <v>1110</v>
      </c>
      <c r="I6" s="187">
        <v>1275</v>
      </c>
      <c r="J6" s="187">
        <v>1385</v>
      </c>
      <c r="K6" s="188">
        <v>1640</v>
      </c>
      <c r="L6" s="2"/>
    </row>
    <row r="7" spans="1:12" ht="18.75">
      <c r="A7" s="2"/>
      <c r="B7" s="175" t="s">
        <v>28</v>
      </c>
      <c r="C7" s="189"/>
      <c r="D7" s="11"/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190">
        <v>0</v>
      </c>
      <c r="L7" s="2"/>
    </row>
    <row r="8" spans="1:12" ht="18.75">
      <c r="A8" s="2"/>
      <c r="B8" s="175" t="s">
        <v>82</v>
      </c>
      <c r="C8" s="189"/>
      <c r="D8" s="10"/>
      <c r="E8" s="47">
        <v>0</v>
      </c>
      <c r="F8" s="47">
        <v>0</v>
      </c>
      <c r="G8" s="47">
        <v>825</v>
      </c>
      <c r="H8" s="47">
        <v>825</v>
      </c>
      <c r="I8" s="47">
        <v>900</v>
      </c>
      <c r="J8" s="47">
        <v>900</v>
      </c>
      <c r="K8" s="190">
        <v>985</v>
      </c>
      <c r="L8" s="2"/>
    </row>
    <row r="9" spans="1:12" ht="19.5" thickBot="1">
      <c r="A9" s="2"/>
      <c r="B9" s="176" t="s">
        <v>38</v>
      </c>
      <c r="C9" s="191"/>
      <c r="D9" s="41"/>
      <c r="E9" s="48">
        <v>0</v>
      </c>
      <c r="F9" s="48">
        <v>0</v>
      </c>
      <c r="G9" s="48">
        <v>165</v>
      </c>
      <c r="H9" s="48">
        <v>190</v>
      </c>
      <c r="I9" s="48">
        <v>195</v>
      </c>
      <c r="J9" s="48">
        <v>230</v>
      </c>
      <c r="K9" s="192">
        <v>255</v>
      </c>
      <c r="L9" s="2"/>
    </row>
    <row r="10" spans="1:12" ht="19.5" thickBot="1">
      <c r="A10" s="2"/>
      <c r="B10" s="177" t="s">
        <v>39</v>
      </c>
      <c r="C10" s="193"/>
      <c r="D10" s="34"/>
      <c r="E10" s="43">
        <f>SUM(E6:E9)</f>
        <v>0</v>
      </c>
      <c r="F10" s="43">
        <f aca="true" t="shared" si="0" ref="F10:K10">SUM(F6:F9)</f>
        <v>0</v>
      </c>
      <c r="G10" s="43">
        <f t="shared" si="0"/>
        <v>2025</v>
      </c>
      <c r="H10" s="43">
        <f t="shared" si="0"/>
        <v>2125</v>
      </c>
      <c r="I10" s="43">
        <f t="shared" si="0"/>
        <v>2370</v>
      </c>
      <c r="J10" s="43">
        <f t="shared" si="0"/>
        <v>2515</v>
      </c>
      <c r="K10" s="44">
        <f t="shared" si="0"/>
        <v>2880</v>
      </c>
      <c r="L10" s="2"/>
    </row>
    <row r="11" spans="1:12" ht="18.75">
      <c r="A11" s="2"/>
      <c r="B11" s="174" t="s">
        <v>10</v>
      </c>
      <c r="C11" s="194"/>
      <c r="D11" s="42"/>
      <c r="E11" s="46">
        <v>0</v>
      </c>
      <c r="F11" s="46">
        <v>0</v>
      </c>
      <c r="G11" s="46">
        <f>+(25+90+100)</f>
        <v>215</v>
      </c>
      <c r="H11" s="46">
        <f>+(25+90+100)</f>
        <v>215</v>
      </c>
      <c r="I11" s="46">
        <f>+(25+90+100)</f>
        <v>215</v>
      </c>
      <c r="J11" s="46">
        <f>+(25+90+100)</f>
        <v>215</v>
      </c>
      <c r="K11" s="46">
        <f>+(25+90+100)</f>
        <v>215</v>
      </c>
      <c r="L11" s="2"/>
    </row>
    <row r="12" spans="1:12" ht="19.5" thickBot="1">
      <c r="A12" s="2"/>
      <c r="B12" s="176" t="s">
        <v>18</v>
      </c>
      <c r="C12" s="191"/>
      <c r="D12" s="76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192">
        <v>0</v>
      </c>
      <c r="L12" s="2"/>
    </row>
    <row r="13" spans="1:12" ht="19.5" thickBot="1">
      <c r="A13" s="2"/>
      <c r="B13" s="178" t="s">
        <v>65</v>
      </c>
      <c r="C13" s="196"/>
      <c r="D13" s="79">
        <v>0.075</v>
      </c>
      <c r="E13" s="80">
        <f>+$D$13*SUM(E10:E12)</f>
        <v>0</v>
      </c>
      <c r="F13" s="80">
        <f aca="true" t="shared" si="1" ref="F13:K13">+$D$13*SUM(F10:F12)</f>
        <v>0</v>
      </c>
      <c r="G13" s="80">
        <f t="shared" si="1"/>
        <v>168</v>
      </c>
      <c r="H13" s="80">
        <f t="shared" si="1"/>
        <v>175.5</v>
      </c>
      <c r="I13" s="80">
        <f t="shared" si="1"/>
        <v>193.875</v>
      </c>
      <c r="J13" s="80">
        <f t="shared" si="1"/>
        <v>204.75</v>
      </c>
      <c r="K13" s="81">
        <f t="shared" si="1"/>
        <v>232.125</v>
      </c>
      <c r="L13" s="2"/>
    </row>
    <row r="14" spans="1:12" ht="20.25" thickBot="1">
      <c r="A14" s="2"/>
      <c r="B14" s="179" t="s">
        <v>66</v>
      </c>
      <c r="C14" s="197"/>
      <c r="D14" s="57"/>
      <c r="E14" s="58">
        <f>SUM(E10:E13)</f>
        <v>0</v>
      </c>
      <c r="F14" s="58">
        <f aca="true" t="shared" si="2" ref="F14:K14">SUM(F10:F13)</f>
        <v>0</v>
      </c>
      <c r="G14" s="58">
        <f t="shared" si="2"/>
        <v>2408</v>
      </c>
      <c r="H14" s="58">
        <f t="shared" si="2"/>
        <v>2515.5</v>
      </c>
      <c r="I14" s="58">
        <f t="shared" si="2"/>
        <v>2778.875</v>
      </c>
      <c r="J14" s="58">
        <f t="shared" si="2"/>
        <v>2934.75</v>
      </c>
      <c r="K14" s="59">
        <f t="shared" si="2"/>
        <v>3327.125</v>
      </c>
      <c r="L14" s="2"/>
    </row>
    <row r="15" spans="1:12" ht="19.5" thickBot="1">
      <c r="A15" s="2"/>
      <c r="B15" s="24"/>
      <c r="C15" s="198"/>
      <c r="D15" s="199"/>
      <c r="E15" s="200"/>
      <c r="F15" s="200"/>
      <c r="G15" s="200"/>
      <c r="H15" s="200"/>
      <c r="I15" s="200"/>
      <c r="J15" s="200"/>
      <c r="K15" s="201"/>
      <c r="L15" s="2"/>
    </row>
    <row r="16" spans="1:12" ht="18.75">
      <c r="A16" s="2"/>
      <c r="B16" s="180" t="s">
        <v>42</v>
      </c>
      <c r="C16" s="189"/>
      <c r="D16" s="11"/>
      <c r="E16" s="60">
        <v>0</v>
      </c>
      <c r="F16" s="60">
        <v>50</v>
      </c>
      <c r="G16" s="60">
        <v>50</v>
      </c>
      <c r="H16" s="60">
        <v>50</v>
      </c>
      <c r="I16" s="60">
        <v>50</v>
      </c>
      <c r="J16" s="60">
        <v>50</v>
      </c>
      <c r="K16" s="202">
        <v>50</v>
      </c>
      <c r="L16" s="2"/>
    </row>
    <row r="17" spans="1:12" ht="18.75">
      <c r="A17" s="2"/>
      <c r="B17" s="21" t="s">
        <v>5</v>
      </c>
      <c r="C17" s="189"/>
      <c r="D17" s="11"/>
      <c r="E17" s="60">
        <v>0</v>
      </c>
      <c r="F17" s="60">
        <f aca="true" t="shared" si="3" ref="F17:K17">SUM(50+35)</f>
        <v>85</v>
      </c>
      <c r="G17" s="60">
        <f t="shared" si="3"/>
        <v>85</v>
      </c>
      <c r="H17" s="60">
        <f t="shared" si="3"/>
        <v>85</v>
      </c>
      <c r="I17" s="60">
        <f t="shared" si="3"/>
        <v>85</v>
      </c>
      <c r="J17" s="60">
        <f t="shared" si="3"/>
        <v>85</v>
      </c>
      <c r="K17" s="60">
        <f t="shared" si="3"/>
        <v>85</v>
      </c>
      <c r="L17" s="2"/>
    </row>
    <row r="18" spans="1:12" ht="18.75">
      <c r="A18" s="2"/>
      <c r="B18" s="22" t="s">
        <v>6</v>
      </c>
      <c r="C18" s="203"/>
      <c r="D18" s="16"/>
      <c r="E18" s="61">
        <v>0</v>
      </c>
      <c r="F18" s="61">
        <v>15</v>
      </c>
      <c r="G18" s="61">
        <v>15</v>
      </c>
      <c r="H18" s="61">
        <v>15</v>
      </c>
      <c r="I18" s="61">
        <v>15</v>
      </c>
      <c r="J18" s="61">
        <v>15</v>
      </c>
      <c r="K18" s="204">
        <v>15</v>
      </c>
      <c r="L18" s="2"/>
    </row>
    <row r="19" spans="1:12" ht="18.75">
      <c r="A19" s="2"/>
      <c r="B19" s="175" t="s">
        <v>22</v>
      </c>
      <c r="C19" s="189"/>
      <c r="D19" s="11"/>
      <c r="E19" s="60">
        <v>0</v>
      </c>
      <c r="F19" s="60">
        <v>35</v>
      </c>
      <c r="G19" s="60">
        <v>150</v>
      </c>
      <c r="H19" s="60">
        <v>150</v>
      </c>
      <c r="I19" s="60">
        <v>150</v>
      </c>
      <c r="J19" s="60">
        <v>150</v>
      </c>
      <c r="K19" s="60">
        <v>150</v>
      </c>
      <c r="L19" s="2"/>
    </row>
    <row r="20" spans="1:12" ht="18.75">
      <c r="A20" s="2"/>
      <c r="B20" s="175" t="s">
        <v>23</v>
      </c>
      <c r="C20" s="189"/>
      <c r="D20" s="11"/>
      <c r="E20" s="60">
        <v>0</v>
      </c>
      <c r="F20" s="60">
        <v>25</v>
      </c>
      <c r="G20" s="60">
        <v>35</v>
      </c>
      <c r="H20" s="60">
        <v>35</v>
      </c>
      <c r="I20" s="60">
        <v>35</v>
      </c>
      <c r="J20" s="60">
        <v>35</v>
      </c>
      <c r="K20" s="60">
        <v>35</v>
      </c>
      <c r="L20" s="2"/>
    </row>
    <row r="21" spans="1:12" ht="18.75">
      <c r="A21" s="2"/>
      <c r="B21" s="175" t="s">
        <v>41</v>
      </c>
      <c r="C21" s="189"/>
      <c r="D21" s="11"/>
      <c r="E21" s="60">
        <v>0</v>
      </c>
      <c r="F21" s="60">
        <v>25</v>
      </c>
      <c r="G21" s="60">
        <v>25</v>
      </c>
      <c r="H21" s="60">
        <v>25</v>
      </c>
      <c r="I21" s="60">
        <v>25</v>
      </c>
      <c r="J21" s="60">
        <v>25</v>
      </c>
      <c r="K21" s="202">
        <v>25</v>
      </c>
      <c r="L21" s="2"/>
    </row>
    <row r="22" spans="1:12" ht="18.75">
      <c r="A22" s="2"/>
      <c r="B22" s="175" t="s">
        <v>19</v>
      </c>
      <c r="C22" s="189"/>
      <c r="D22" s="11"/>
      <c r="E22" s="60">
        <v>0</v>
      </c>
      <c r="F22" s="60">
        <v>45</v>
      </c>
      <c r="G22" s="60">
        <v>45</v>
      </c>
      <c r="H22" s="60">
        <v>45</v>
      </c>
      <c r="I22" s="60">
        <v>45</v>
      </c>
      <c r="J22" s="60">
        <v>45</v>
      </c>
      <c r="K22" s="202">
        <v>45</v>
      </c>
      <c r="L22" s="2"/>
    </row>
    <row r="23" spans="1:12" ht="18.75">
      <c r="A23" s="2"/>
      <c r="B23" s="175" t="s">
        <v>29</v>
      </c>
      <c r="C23" s="189"/>
      <c r="D23" s="11"/>
      <c r="E23" s="60">
        <v>0</v>
      </c>
      <c r="F23" s="60">
        <v>20</v>
      </c>
      <c r="G23" s="60">
        <v>20</v>
      </c>
      <c r="H23" s="60">
        <v>20</v>
      </c>
      <c r="I23" s="60">
        <v>20</v>
      </c>
      <c r="J23" s="60">
        <v>20</v>
      </c>
      <c r="K23" s="202">
        <v>20</v>
      </c>
      <c r="L23" s="2"/>
    </row>
    <row r="24" spans="1:12" ht="19.5" thickBot="1">
      <c r="A24" s="2"/>
      <c r="B24" s="181" t="s">
        <v>24</v>
      </c>
      <c r="C24" s="205"/>
      <c r="D24" s="67"/>
      <c r="E24" s="68">
        <v>0</v>
      </c>
      <c r="F24" s="68">
        <v>60</v>
      </c>
      <c r="G24" s="68">
        <v>60</v>
      </c>
      <c r="H24" s="68">
        <v>60</v>
      </c>
      <c r="I24" s="68">
        <v>60</v>
      </c>
      <c r="J24" s="68">
        <v>60</v>
      </c>
      <c r="K24" s="206">
        <v>60</v>
      </c>
      <c r="L24" s="2"/>
    </row>
    <row r="25" spans="1:12" ht="19.5" thickBot="1">
      <c r="A25" s="2"/>
      <c r="B25" s="182" t="s">
        <v>20</v>
      </c>
      <c r="C25" s="193"/>
      <c r="D25" s="34"/>
      <c r="E25" s="73">
        <f>SUM(E16:E24)</f>
        <v>0</v>
      </c>
      <c r="F25" s="73">
        <f aca="true" t="shared" si="4" ref="F25:K25">SUM(F16:F24)</f>
        <v>360</v>
      </c>
      <c r="G25" s="73">
        <f t="shared" si="4"/>
        <v>485</v>
      </c>
      <c r="H25" s="73">
        <f t="shared" si="4"/>
        <v>485</v>
      </c>
      <c r="I25" s="73">
        <f t="shared" si="4"/>
        <v>485</v>
      </c>
      <c r="J25" s="73">
        <f t="shared" si="4"/>
        <v>485</v>
      </c>
      <c r="K25" s="74">
        <f t="shared" si="4"/>
        <v>485</v>
      </c>
      <c r="L25" s="2"/>
    </row>
    <row r="26" spans="1:12" ht="19.5" thickBot="1">
      <c r="A26" s="2"/>
      <c r="B26" s="183" t="s">
        <v>65</v>
      </c>
      <c r="C26" s="207"/>
      <c r="D26" s="71">
        <v>0.075</v>
      </c>
      <c r="E26" s="72">
        <f>+$D$26*SUM(E16:E24)</f>
        <v>0</v>
      </c>
      <c r="F26" s="72">
        <f aca="true" t="shared" si="5" ref="F26:K26">+$D$26*SUM(F16:F24)</f>
        <v>27</v>
      </c>
      <c r="G26" s="72">
        <f t="shared" si="5"/>
        <v>36.375</v>
      </c>
      <c r="H26" s="72">
        <f t="shared" si="5"/>
        <v>36.375</v>
      </c>
      <c r="I26" s="72">
        <f t="shared" si="5"/>
        <v>36.375</v>
      </c>
      <c r="J26" s="72">
        <f t="shared" si="5"/>
        <v>36.375</v>
      </c>
      <c r="K26" s="75">
        <f t="shared" si="5"/>
        <v>36.375</v>
      </c>
      <c r="L26" s="2"/>
    </row>
    <row r="27" spans="1:12" ht="20.25" thickBot="1">
      <c r="A27" s="2"/>
      <c r="B27" s="179" t="s">
        <v>40</v>
      </c>
      <c r="C27" s="208"/>
      <c r="D27" s="66"/>
      <c r="E27" s="63">
        <f aca="true" t="shared" si="6" ref="E27:J27">SUM(E25:E26)</f>
        <v>0</v>
      </c>
      <c r="F27" s="63">
        <f t="shared" si="6"/>
        <v>387</v>
      </c>
      <c r="G27" s="63">
        <f t="shared" si="6"/>
        <v>521.375</v>
      </c>
      <c r="H27" s="63">
        <f t="shared" si="6"/>
        <v>521.375</v>
      </c>
      <c r="I27" s="63">
        <f t="shared" si="6"/>
        <v>521.375</v>
      </c>
      <c r="J27" s="63">
        <f t="shared" si="6"/>
        <v>521.375</v>
      </c>
      <c r="K27" s="64">
        <f>SUM(K25)</f>
        <v>485</v>
      </c>
      <c r="L27" s="2"/>
    </row>
    <row r="28" spans="1:12" ht="19.5" thickBot="1">
      <c r="A28" s="2"/>
      <c r="B28" s="26"/>
      <c r="C28" s="209"/>
      <c r="D28" s="210"/>
      <c r="E28" s="211"/>
      <c r="F28" s="211"/>
      <c r="G28" s="211"/>
      <c r="H28" s="211"/>
      <c r="I28" s="211"/>
      <c r="J28" s="211"/>
      <c r="K28" s="212"/>
      <c r="L28" s="2"/>
    </row>
    <row r="29" spans="1:12" ht="19.5" thickBot="1">
      <c r="A29" s="2"/>
      <c r="B29" s="26"/>
      <c r="C29" s="88" t="s">
        <v>43</v>
      </c>
      <c r="D29" s="89" t="s">
        <v>44</v>
      </c>
      <c r="E29" s="211"/>
      <c r="F29" s="211"/>
      <c r="G29" s="211"/>
      <c r="H29" s="211"/>
      <c r="I29" s="211"/>
      <c r="J29" s="211"/>
      <c r="K29" s="212"/>
      <c r="L29" s="2"/>
    </row>
    <row r="30" spans="1:12" ht="18.75">
      <c r="A30" s="2"/>
      <c r="B30" s="180" t="s">
        <v>67</v>
      </c>
      <c r="C30" s="213">
        <v>18</v>
      </c>
      <c r="D30" s="87">
        <v>20</v>
      </c>
      <c r="E30" s="82">
        <f>+$C$30*$D$30</f>
        <v>360</v>
      </c>
      <c r="F30" s="82">
        <f aca="true" t="shared" si="7" ref="F30:K30">+$C$30*$D$30</f>
        <v>360</v>
      </c>
      <c r="G30" s="82">
        <f t="shared" si="7"/>
        <v>360</v>
      </c>
      <c r="H30" s="82">
        <f t="shared" si="7"/>
        <v>360</v>
      </c>
      <c r="I30" s="82">
        <f t="shared" si="7"/>
        <v>360</v>
      </c>
      <c r="J30" s="82">
        <f t="shared" si="7"/>
        <v>360</v>
      </c>
      <c r="K30" s="214">
        <f t="shared" si="7"/>
        <v>360</v>
      </c>
      <c r="L30" s="2"/>
    </row>
    <row r="31" spans="1:12" ht="18.75">
      <c r="A31" s="2"/>
      <c r="B31" s="175" t="s">
        <v>45</v>
      </c>
      <c r="C31" s="215">
        <v>0</v>
      </c>
      <c r="D31" s="85">
        <f>+D30*1.5</f>
        <v>30</v>
      </c>
      <c r="E31" s="82">
        <f>+$C$31*$D$31</f>
        <v>0</v>
      </c>
      <c r="F31" s="82">
        <f aca="true" t="shared" si="8" ref="F31:K31">+$C$31*$D$31</f>
        <v>0</v>
      </c>
      <c r="G31" s="82">
        <f t="shared" si="8"/>
        <v>0</v>
      </c>
      <c r="H31" s="82">
        <f t="shared" si="8"/>
        <v>0</v>
      </c>
      <c r="I31" s="82">
        <f t="shared" si="8"/>
        <v>0</v>
      </c>
      <c r="J31" s="82">
        <f t="shared" si="8"/>
        <v>0</v>
      </c>
      <c r="K31" s="214">
        <f t="shared" si="8"/>
        <v>0</v>
      </c>
      <c r="L31" s="2"/>
    </row>
    <row r="32" spans="1:12" ht="18.75">
      <c r="A32" s="2"/>
      <c r="B32" s="175" t="s">
        <v>47</v>
      </c>
      <c r="C32" s="215">
        <v>1</v>
      </c>
      <c r="D32" s="84">
        <v>20</v>
      </c>
      <c r="E32" s="82">
        <f>+$C$32*$D$32</f>
        <v>20</v>
      </c>
      <c r="F32" s="82">
        <f aca="true" t="shared" si="9" ref="F32:K32">+$C$32*$D$32</f>
        <v>20</v>
      </c>
      <c r="G32" s="82">
        <f t="shared" si="9"/>
        <v>20</v>
      </c>
      <c r="H32" s="82">
        <f t="shared" si="9"/>
        <v>20</v>
      </c>
      <c r="I32" s="82">
        <f t="shared" si="9"/>
        <v>20</v>
      </c>
      <c r="J32" s="82">
        <f t="shared" si="9"/>
        <v>20</v>
      </c>
      <c r="K32" s="214">
        <f t="shared" si="9"/>
        <v>20</v>
      </c>
      <c r="L32" s="2"/>
    </row>
    <row r="33" spans="1:12" ht="18.75">
      <c r="A33" s="2"/>
      <c r="B33" s="175" t="s">
        <v>46</v>
      </c>
      <c r="C33" s="215">
        <v>0</v>
      </c>
      <c r="D33" s="84">
        <v>20</v>
      </c>
      <c r="E33" s="82">
        <f>+$C$33*$D$33</f>
        <v>0</v>
      </c>
      <c r="F33" s="82">
        <f aca="true" t="shared" si="10" ref="F33:K33">+$C$33*$D$33</f>
        <v>0</v>
      </c>
      <c r="G33" s="82">
        <f t="shared" si="10"/>
        <v>0</v>
      </c>
      <c r="H33" s="82">
        <f t="shared" si="10"/>
        <v>0</v>
      </c>
      <c r="I33" s="82">
        <f t="shared" si="10"/>
        <v>0</v>
      </c>
      <c r="J33" s="82">
        <f t="shared" si="10"/>
        <v>0</v>
      </c>
      <c r="K33" s="214">
        <f t="shared" si="10"/>
        <v>0</v>
      </c>
      <c r="L33" s="2"/>
    </row>
    <row r="34" spans="1:12" ht="18.75">
      <c r="A34" s="2"/>
      <c r="B34" s="175" t="s">
        <v>48</v>
      </c>
      <c r="C34" s="189"/>
      <c r="D34" s="11"/>
      <c r="E34" s="62">
        <f>SUM(E30:E33)</f>
        <v>380</v>
      </c>
      <c r="F34" s="62">
        <f aca="true" t="shared" si="11" ref="F34:K34">SUM(F30:F33)</f>
        <v>380</v>
      </c>
      <c r="G34" s="62">
        <f t="shared" si="11"/>
        <v>380</v>
      </c>
      <c r="H34" s="62">
        <f t="shared" si="11"/>
        <v>380</v>
      </c>
      <c r="I34" s="62">
        <f t="shared" si="11"/>
        <v>380</v>
      </c>
      <c r="J34" s="62">
        <f t="shared" si="11"/>
        <v>380</v>
      </c>
      <c r="K34" s="216">
        <f t="shared" si="11"/>
        <v>380</v>
      </c>
      <c r="L34" s="2"/>
    </row>
    <row r="35" spans="1:12" ht="19.5" thickBot="1">
      <c r="A35" s="2"/>
      <c r="B35" s="184" t="s">
        <v>26</v>
      </c>
      <c r="C35" s="217"/>
      <c r="D35" s="218"/>
      <c r="E35" s="219">
        <f aca="true" t="shared" si="12" ref="E35:K35">E34*0.24</f>
        <v>91.2</v>
      </c>
      <c r="F35" s="219">
        <f t="shared" si="12"/>
        <v>91.2</v>
      </c>
      <c r="G35" s="219">
        <f t="shared" si="12"/>
        <v>91.2</v>
      </c>
      <c r="H35" s="219">
        <f t="shared" si="12"/>
        <v>91.2</v>
      </c>
      <c r="I35" s="219">
        <f t="shared" si="12"/>
        <v>91.2</v>
      </c>
      <c r="J35" s="219">
        <f t="shared" si="12"/>
        <v>91.2</v>
      </c>
      <c r="K35" s="220">
        <f t="shared" si="12"/>
        <v>91.2</v>
      </c>
      <c r="L35" s="2"/>
    </row>
    <row r="36" spans="1:12" ht="19.5" thickBot="1">
      <c r="A36" s="2"/>
      <c r="B36" s="24"/>
      <c r="C36" s="3"/>
      <c r="D36" s="12"/>
      <c r="E36" s="14"/>
      <c r="F36" s="14"/>
      <c r="G36" s="14"/>
      <c r="H36" s="14"/>
      <c r="I36" s="14"/>
      <c r="J36" s="14"/>
      <c r="K36" s="14"/>
      <c r="L36" s="2"/>
    </row>
    <row r="37" spans="1:12" ht="18.75">
      <c r="A37" s="2"/>
      <c r="B37" s="25" t="s">
        <v>35</v>
      </c>
      <c r="C37" s="8"/>
      <c r="D37" s="11"/>
      <c r="E37" s="90">
        <v>50</v>
      </c>
      <c r="F37" s="90">
        <v>50</v>
      </c>
      <c r="G37" s="90">
        <v>50</v>
      </c>
      <c r="H37" s="90">
        <v>50</v>
      </c>
      <c r="I37" s="90">
        <v>50</v>
      </c>
      <c r="J37" s="90">
        <v>50</v>
      </c>
      <c r="K37" s="90">
        <v>50</v>
      </c>
      <c r="L37" s="2"/>
    </row>
    <row r="38" spans="1:12" ht="18.75">
      <c r="A38" s="2"/>
      <c r="B38" s="21" t="s">
        <v>25</v>
      </c>
      <c r="C38" s="17"/>
      <c r="D38" s="11"/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2"/>
    </row>
    <row r="39" spans="1:12" ht="18.75">
      <c r="A39" s="2"/>
      <c r="B39" s="21" t="s">
        <v>95</v>
      </c>
      <c r="C39" s="8"/>
      <c r="D39" s="11"/>
      <c r="E39" s="90">
        <v>0</v>
      </c>
      <c r="F39" s="90">
        <v>40</v>
      </c>
      <c r="G39" s="90">
        <v>50</v>
      </c>
      <c r="H39" s="90">
        <v>50</v>
      </c>
      <c r="I39" s="90">
        <v>60</v>
      </c>
      <c r="J39" s="90">
        <v>60</v>
      </c>
      <c r="K39" s="90">
        <v>60</v>
      </c>
      <c r="L39" s="2"/>
    </row>
    <row r="40" spans="1:12" ht="18.75">
      <c r="A40" s="2"/>
      <c r="B40" s="21" t="s">
        <v>15</v>
      </c>
      <c r="C40" s="8"/>
      <c r="D40" s="11"/>
      <c r="E40" s="90">
        <v>75</v>
      </c>
      <c r="F40" s="90">
        <v>75</v>
      </c>
      <c r="G40" s="90">
        <v>75</v>
      </c>
      <c r="H40" s="90">
        <v>75</v>
      </c>
      <c r="I40" s="90">
        <v>75</v>
      </c>
      <c r="J40" s="90">
        <v>75</v>
      </c>
      <c r="K40" s="90">
        <v>75</v>
      </c>
      <c r="L40" s="2"/>
    </row>
    <row r="41" spans="1:12" ht="18.75">
      <c r="A41" s="2"/>
      <c r="B41" s="27"/>
      <c r="C41" s="3"/>
      <c r="D41" s="3"/>
      <c r="E41" s="4"/>
      <c r="F41" s="4"/>
      <c r="G41" s="4"/>
      <c r="H41" s="4"/>
      <c r="I41" s="4"/>
      <c r="J41" s="4"/>
      <c r="K41" s="4"/>
      <c r="L41" s="2"/>
    </row>
    <row r="42" spans="1:12" ht="18.75">
      <c r="A42" s="2"/>
      <c r="B42" s="22" t="s">
        <v>68</v>
      </c>
      <c r="C42" s="9"/>
      <c r="D42" s="91">
        <v>0.3</v>
      </c>
      <c r="E42" s="4"/>
      <c r="F42" s="4"/>
      <c r="G42" s="4"/>
      <c r="H42" s="4"/>
      <c r="I42" s="4"/>
      <c r="J42" s="4"/>
      <c r="K42" s="4"/>
      <c r="L42" s="2"/>
    </row>
    <row r="43" spans="1:12" ht="18.75">
      <c r="A43" s="2"/>
      <c r="B43" s="22" t="s">
        <v>37</v>
      </c>
      <c r="C43" s="9"/>
      <c r="D43" s="91">
        <v>0.04</v>
      </c>
      <c r="E43" s="4"/>
      <c r="F43" s="4"/>
      <c r="G43" s="4"/>
      <c r="H43" s="4"/>
      <c r="I43" s="4"/>
      <c r="J43" s="4"/>
      <c r="K43" s="4"/>
      <c r="L43" s="2"/>
    </row>
    <row r="44" spans="1:12" ht="19.5" thickBot="1">
      <c r="A44" s="2"/>
      <c r="B44" s="28" t="s">
        <v>30</v>
      </c>
      <c r="C44" s="9"/>
      <c r="D44" s="91">
        <v>0.15</v>
      </c>
      <c r="E44" s="4"/>
      <c r="F44" s="4"/>
      <c r="G44" s="4"/>
      <c r="H44" s="4"/>
      <c r="I44" s="4"/>
      <c r="J44" s="4"/>
      <c r="K44" s="4"/>
      <c r="L44" s="2"/>
    </row>
    <row r="45" spans="1:12" ht="19.5" thickBot="1">
      <c r="A45" s="2"/>
      <c r="B45" s="24"/>
      <c r="C45" s="3"/>
      <c r="D45" s="3"/>
      <c r="E45" s="4"/>
      <c r="F45" s="4"/>
      <c r="G45" s="4"/>
      <c r="H45" s="4"/>
      <c r="I45" s="4"/>
      <c r="J45" s="4"/>
      <c r="K45" s="4"/>
      <c r="L45" s="2"/>
    </row>
    <row r="46" spans="1:12" ht="19.5" thickBot="1">
      <c r="A46" s="2"/>
      <c r="B46" s="54" t="s">
        <v>70</v>
      </c>
      <c r="C46" s="99"/>
      <c r="D46" s="100"/>
      <c r="E46" s="97">
        <f aca="true" t="shared" si="13" ref="E46:K46">SUM(E37+E34+E27+E14+E35+E39+E38+E40)</f>
        <v>596.2</v>
      </c>
      <c r="F46" s="97">
        <f t="shared" si="13"/>
        <v>1023.2</v>
      </c>
      <c r="G46" s="97">
        <f t="shared" si="13"/>
        <v>3575.575</v>
      </c>
      <c r="H46" s="97">
        <f t="shared" si="13"/>
        <v>3683.075</v>
      </c>
      <c r="I46" s="97">
        <f t="shared" si="13"/>
        <v>3956.45</v>
      </c>
      <c r="J46" s="97">
        <f t="shared" si="13"/>
        <v>4112.325</v>
      </c>
      <c r="K46" s="98">
        <f t="shared" si="13"/>
        <v>4468.325</v>
      </c>
      <c r="L46" s="2"/>
    </row>
    <row r="47" spans="1:12" ht="19.5" thickBot="1">
      <c r="A47" s="2"/>
      <c r="B47" s="93" t="s">
        <v>69</v>
      </c>
      <c r="C47" s="19"/>
      <c r="D47" s="94"/>
      <c r="E47" s="95">
        <f>SUM($D$42:$D$44)</f>
        <v>0.49</v>
      </c>
      <c r="F47" s="95">
        <f aca="true" t="shared" si="14" ref="F47:K47">SUM($D$42:$D$44)</f>
        <v>0.49</v>
      </c>
      <c r="G47" s="95">
        <f t="shared" si="14"/>
        <v>0.49</v>
      </c>
      <c r="H47" s="95">
        <f t="shared" si="14"/>
        <v>0.49</v>
      </c>
      <c r="I47" s="95">
        <f t="shared" si="14"/>
        <v>0.49</v>
      </c>
      <c r="J47" s="95">
        <f t="shared" si="14"/>
        <v>0.49</v>
      </c>
      <c r="K47" s="109">
        <f t="shared" si="14"/>
        <v>0.49</v>
      </c>
      <c r="L47" s="2"/>
    </row>
    <row r="48" spans="1:12" ht="19.5" thickBot="1">
      <c r="A48" s="2"/>
      <c r="B48" s="54" t="s">
        <v>36</v>
      </c>
      <c r="C48" s="55"/>
      <c r="D48" s="96"/>
      <c r="E48" s="97">
        <f>E49-E46</f>
        <v>572.8196078431372</v>
      </c>
      <c r="F48" s="97">
        <f aca="true" t="shared" si="15" ref="F48:K48">F49-F46</f>
        <v>983.0745098039215</v>
      </c>
      <c r="G48" s="97">
        <f t="shared" si="15"/>
        <v>3435.3563725490194</v>
      </c>
      <c r="H48" s="97">
        <f t="shared" si="15"/>
        <v>3538.64068627451</v>
      </c>
      <c r="I48" s="97">
        <f t="shared" si="15"/>
        <v>3801.295098039215</v>
      </c>
      <c r="J48" s="97">
        <f t="shared" si="15"/>
        <v>3951.057352941176</v>
      </c>
      <c r="K48" s="98">
        <f t="shared" si="15"/>
        <v>4293.096568627451</v>
      </c>
      <c r="L48" s="2"/>
    </row>
    <row r="49" spans="1:12" ht="18.75">
      <c r="A49" s="2"/>
      <c r="B49" s="35" t="s">
        <v>71</v>
      </c>
      <c r="C49" s="36"/>
      <c r="D49" s="92"/>
      <c r="E49" s="101">
        <f>E46/(1-E47)</f>
        <v>1169.0196078431372</v>
      </c>
      <c r="F49" s="101">
        <f aca="true" t="shared" si="16" ref="F49:K49">F46/(1-F47)</f>
        <v>2006.2745098039215</v>
      </c>
      <c r="G49" s="101">
        <f t="shared" si="16"/>
        <v>7010.931372549019</v>
      </c>
      <c r="H49" s="101">
        <f t="shared" si="16"/>
        <v>7221.71568627451</v>
      </c>
      <c r="I49" s="101">
        <f t="shared" si="16"/>
        <v>7757.745098039215</v>
      </c>
      <c r="J49" s="101">
        <f t="shared" si="16"/>
        <v>8063.382352941176</v>
      </c>
      <c r="K49" s="110">
        <f t="shared" si="16"/>
        <v>8761.421568627451</v>
      </c>
      <c r="L49" s="2"/>
    </row>
    <row r="50" spans="1:12" ht="19.5" thickBot="1">
      <c r="A50" s="2"/>
      <c r="B50" s="23" t="s">
        <v>72</v>
      </c>
      <c r="C50" s="111"/>
      <c r="D50" s="112"/>
      <c r="E50" s="113">
        <v>0</v>
      </c>
      <c r="F50" s="113">
        <v>80</v>
      </c>
      <c r="G50" s="113">
        <f>+(80+185+130)</f>
        <v>395</v>
      </c>
      <c r="H50" s="113">
        <f>+(80+185+130)</f>
        <v>395</v>
      </c>
      <c r="I50" s="113">
        <f>+(80+185+130)</f>
        <v>395</v>
      </c>
      <c r="J50" s="113">
        <f>+(80+185+130)</f>
        <v>395</v>
      </c>
      <c r="K50" s="113">
        <f>+(80+185+130)</f>
        <v>395</v>
      </c>
      <c r="L50" s="2"/>
    </row>
    <row r="51" spans="1:12" ht="19.5" thickBot="1">
      <c r="A51" s="2"/>
      <c r="B51" s="106"/>
      <c r="C51" s="107"/>
      <c r="D51" s="107"/>
      <c r="E51" s="108"/>
      <c r="F51" s="108"/>
      <c r="G51" s="108"/>
      <c r="H51" s="108"/>
      <c r="I51" s="108"/>
      <c r="J51" s="108"/>
      <c r="K51" s="108"/>
      <c r="L51" s="2"/>
    </row>
    <row r="52" spans="1:12" ht="18.75">
      <c r="A52" s="2"/>
      <c r="B52" s="128" t="s">
        <v>76</v>
      </c>
      <c r="C52" s="115"/>
      <c r="D52" s="116"/>
      <c r="E52" s="117">
        <f aca="true" t="shared" si="17" ref="E52:K52">SUM(E49:E50)</f>
        <v>1169.0196078431372</v>
      </c>
      <c r="F52" s="117">
        <f t="shared" si="17"/>
        <v>2086.2745098039213</v>
      </c>
      <c r="G52" s="117">
        <f t="shared" si="17"/>
        <v>7405.931372549019</v>
      </c>
      <c r="H52" s="117">
        <f t="shared" si="17"/>
        <v>7616.71568627451</v>
      </c>
      <c r="I52" s="117">
        <f t="shared" si="17"/>
        <v>8152.745098039215</v>
      </c>
      <c r="J52" s="117">
        <f t="shared" si="17"/>
        <v>8458.382352941175</v>
      </c>
      <c r="K52" s="118">
        <f t="shared" si="17"/>
        <v>9156.421568627451</v>
      </c>
      <c r="L52" s="2"/>
    </row>
    <row r="53" spans="1:12" ht="18.75">
      <c r="A53" s="2"/>
      <c r="B53" s="129" t="s">
        <v>75</v>
      </c>
      <c r="C53" s="119"/>
      <c r="D53" s="120"/>
      <c r="E53" s="121">
        <f aca="true" t="shared" si="18" ref="E53:K55">E52/0.95</f>
        <v>1230.546955624355</v>
      </c>
      <c r="F53" s="121">
        <f t="shared" si="18"/>
        <v>2196.078431372549</v>
      </c>
      <c r="G53" s="121">
        <f t="shared" si="18"/>
        <v>7795.717234262126</v>
      </c>
      <c r="H53" s="121">
        <f t="shared" si="18"/>
        <v>8017.595459236326</v>
      </c>
      <c r="I53" s="121">
        <f t="shared" si="18"/>
        <v>8581.836945304438</v>
      </c>
      <c r="J53" s="121">
        <f t="shared" si="18"/>
        <v>8903.560371517027</v>
      </c>
      <c r="K53" s="122">
        <f t="shared" si="18"/>
        <v>9638.338493292054</v>
      </c>
      <c r="L53" s="2"/>
    </row>
    <row r="54" spans="1:12" ht="19.5" thickBot="1">
      <c r="A54" s="2"/>
      <c r="B54" s="129" t="s">
        <v>74</v>
      </c>
      <c r="C54" s="123"/>
      <c r="D54" s="123"/>
      <c r="E54" s="124">
        <f t="shared" si="18"/>
        <v>1295.312584867742</v>
      </c>
      <c r="F54" s="124">
        <f t="shared" si="18"/>
        <v>2311.6615067079465</v>
      </c>
      <c r="G54" s="124">
        <f t="shared" si="18"/>
        <v>8206.018141328554</v>
      </c>
      <c r="H54" s="124">
        <f t="shared" si="18"/>
        <v>8439.574167617186</v>
      </c>
      <c r="I54" s="124">
        <f t="shared" si="18"/>
        <v>9033.512574004671</v>
      </c>
      <c r="J54" s="124">
        <f t="shared" si="18"/>
        <v>9372.168812123187</v>
      </c>
      <c r="K54" s="125">
        <f t="shared" si="18"/>
        <v>10145.619466623215</v>
      </c>
      <c r="L54" s="2"/>
    </row>
    <row r="55" spans="1:12" ht="19.5" thickBot="1">
      <c r="A55" s="2"/>
      <c r="B55" s="168" t="s">
        <v>77</v>
      </c>
      <c r="C55" s="169"/>
      <c r="D55" s="170"/>
      <c r="E55" s="171">
        <f t="shared" si="18"/>
        <v>1363.4869314397286</v>
      </c>
      <c r="F55" s="171">
        <f t="shared" si="18"/>
        <v>2433.3279017978384</v>
      </c>
      <c r="G55" s="171">
        <f t="shared" si="18"/>
        <v>8637.913832977425</v>
      </c>
      <c r="H55" s="171">
        <f t="shared" si="18"/>
        <v>8883.7622817023</v>
      </c>
      <c r="I55" s="171">
        <f t="shared" si="18"/>
        <v>9508.960604215445</v>
      </c>
      <c r="J55" s="171">
        <f t="shared" si="18"/>
        <v>9865.440854866514</v>
      </c>
      <c r="K55" s="172">
        <f t="shared" si="18"/>
        <v>10679.599438550753</v>
      </c>
      <c r="L55" s="2"/>
    </row>
    <row r="56" spans="1:12" ht="19.5" thickBot="1">
      <c r="A56" s="2"/>
      <c r="B56" s="29"/>
      <c r="C56" s="20"/>
      <c r="D56" s="20"/>
      <c r="E56" s="2"/>
      <c r="F56" s="2"/>
      <c r="G56" s="2"/>
      <c r="H56" s="2"/>
      <c r="I56" s="2"/>
      <c r="J56" s="2"/>
      <c r="K56" s="2"/>
      <c r="L56" s="2"/>
    </row>
    <row r="57" spans="1:12" ht="18.75">
      <c r="A57" s="2"/>
      <c r="B57" s="25" t="s">
        <v>62</v>
      </c>
      <c r="C57" s="102"/>
      <c r="D57" s="103"/>
      <c r="E57" s="152">
        <f>(E14)/E52</f>
        <v>0</v>
      </c>
      <c r="F57" s="152">
        <f aca="true" t="shared" si="19" ref="F57:K57">(F14-81)/F52</f>
        <v>-0.03882518796992482</v>
      </c>
      <c r="G57" s="152">
        <f t="shared" si="19"/>
        <v>0.31420761048708973</v>
      </c>
      <c r="H57" s="152">
        <f t="shared" si="19"/>
        <v>0.31962595169293545</v>
      </c>
      <c r="I57" s="152">
        <f t="shared" si="19"/>
        <v>0.3309161475744968</v>
      </c>
      <c r="J57" s="152">
        <f t="shared" si="19"/>
        <v>0.3373872072604622</v>
      </c>
      <c r="K57" s="153">
        <f t="shared" si="19"/>
        <v>0.35451895433934183</v>
      </c>
      <c r="L57" s="2"/>
    </row>
    <row r="58" spans="1:12" ht="18.75">
      <c r="A58" s="2"/>
      <c r="B58" s="21" t="s">
        <v>63</v>
      </c>
      <c r="C58" s="8"/>
      <c r="D58" s="6"/>
      <c r="E58" s="131">
        <f>+E27/E52</f>
        <v>0</v>
      </c>
      <c r="F58" s="131">
        <f aca="true" t="shared" si="20" ref="F58:K58">+F27/F52</f>
        <v>0.1854981203007519</v>
      </c>
      <c r="G58" s="131">
        <f t="shared" si="20"/>
        <v>0.07039965316618238</v>
      </c>
      <c r="H58" s="131">
        <f t="shared" si="20"/>
        <v>0.06845141941421409</v>
      </c>
      <c r="I58" s="131">
        <f t="shared" si="20"/>
        <v>0.06395085259385748</v>
      </c>
      <c r="J58" s="131">
        <f t="shared" si="20"/>
        <v>0.06164003685866788</v>
      </c>
      <c r="K58" s="154">
        <f t="shared" si="20"/>
        <v>0.05296829076347361</v>
      </c>
      <c r="L58" s="2"/>
    </row>
    <row r="59" spans="1:12" ht="18.75">
      <c r="A59" s="2"/>
      <c r="B59" s="21" t="s">
        <v>64</v>
      </c>
      <c r="C59" s="8"/>
      <c r="D59" s="6"/>
      <c r="E59" s="131">
        <f>+E34/E52</f>
        <v>0.3250587051325059</v>
      </c>
      <c r="F59" s="131">
        <f aca="true" t="shared" si="21" ref="F59:K59">+F34/F52</f>
        <v>0.18214285714285716</v>
      </c>
      <c r="G59" s="131">
        <f t="shared" si="21"/>
        <v>0.05131022431675724</v>
      </c>
      <c r="H59" s="131">
        <f t="shared" si="21"/>
        <v>0.04989026972409754</v>
      </c>
      <c r="I59" s="131">
        <f t="shared" si="21"/>
        <v>0.04661006758219294</v>
      </c>
      <c r="J59" s="131">
        <f t="shared" si="21"/>
        <v>0.04492584801015353</v>
      </c>
      <c r="K59" s="154">
        <f t="shared" si="21"/>
        <v>0.041500928845608194</v>
      </c>
      <c r="L59" s="2"/>
    </row>
    <row r="60" spans="1:12" ht="18.75">
      <c r="A60" s="2"/>
      <c r="B60" s="21" t="s">
        <v>92</v>
      </c>
      <c r="C60" s="8"/>
      <c r="D60" s="6"/>
      <c r="E60" s="132">
        <f>E65/E34</f>
        <v>1.3228379772961816</v>
      </c>
      <c r="F60" s="132">
        <f aca="true" t="shared" si="22" ref="F60:K60">F65/F34</f>
        <v>2.468152734778121</v>
      </c>
      <c r="G60" s="132">
        <f t="shared" si="22"/>
        <v>8.910527605779153</v>
      </c>
      <c r="H60" s="132">
        <f t="shared" si="22"/>
        <v>9.149046697626419</v>
      </c>
      <c r="I60" s="132">
        <f t="shared" si="22"/>
        <v>9.755606295149638</v>
      </c>
      <c r="J60" s="132">
        <f t="shared" si="22"/>
        <v>10.10145897832817</v>
      </c>
      <c r="K60" s="155">
        <f t="shared" si="22"/>
        <v>10.891345459236327</v>
      </c>
      <c r="L60" s="2"/>
    </row>
    <row r="61" spans="1:12" ht="18.75">
      <c r="A61" s="2"/>
      <c r="B61" s="22" t="s">
        <v>27</v>
      </c>
      <c r="C61" s="9"/>
      <c r="D61" s="7"/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56">
        <v>0</v>
      </c>
      <c r="L61" s="2"/>
    </row>
    <row r="62" spans="1:12" ht="18.75">
      <c r="A62" s="2"/>
      <c r="B62" s="22" t="s">
        <v>49</v>
      </c>
      <c r="C62" s="9"/>
      <c r="D62" s="7"/>
      <c r="E62" s="134">
        <f aca="true" t="shared" si="23" ref="E62:K62">E52*0.06</f>
        <v>70.14117647058823</v>
      </c>
      <c r="F62" s="134">
        <f t="shared" si="23"/>
        <v>125.17647058823528</v>
      </c>
      <c r="G62" s="134">
        <f t="shared" si="23"/>
        <v>444.35588235294114</v>
      </c>
      <c r="H62" s="134">
        <f t="shared" si="23"/>
        <v>457.0029411764706</v>
      </c>
      <c r="I62" s="134">
        <f t="shared" si="23"/>
        <v>489.1647058823529</v>
      </c>
      <c r="J62" s="134">
        <f t="shared" si="23"/>
        <v>507.5029411764705</v>
      </c>
      <c r="K62" s="157">
        <f t="shared" si="23"/>
        <v>549.385294117647</v>
      </c>
      <c r="L62" s="2"/>
    </row>
    <row r="63" spans="1:12" ht="19.5" thickBot="1">
      <c r="A63" s="2"/>
      <c r="B63" s="28" t="s">
        <v>34</v>
      </c>
      <c r="C63" s="104"/>
      <c r="D63" s="105"/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9">
        <v>0</v>
      </c>
      <c r="L63" s="2"/>
    </row>
    <row r="64" spans="1:12" ht="18.75">
      <c r="A64" s="2"/>
      <c r="B64" s="135" t="s">
        <v>16</v>
      </c>
      <c r="C64" s="136"/>
      <c r="D64" s="137"/>
      <c r="E64" s="138">
        <f aca="true" t="shared" si="24" ref="E64:K64">SUM(E61:E63)</f>
        <v>70.14117647058823</v>
      </c>
      <c r="F64" s="138">
        <f t="shared" si="24"/>
        <v>125.17647058823528</v>
      </c>
      <c r="G64" s="138">
        <f t="shared" si="24"/>
        <v>444.35588235294114</v>
      </c>
      <c r="H64" s="138">
        <f t="shared" si="24"/>
        <v>457.0029411764706</v>
      </c>
      <c r="I64" s="138">
        <f t="shared" si="24"/>
        <v>489.1647058823529</v>
      </c>
      <c r="J64" s="138">
        <f t="shared" si="24"/>
        <v>507.5029411764705</v>
      </c>
      <c r="K64" s="139">
        <f t="shared" si="24"/>
        <v>549.385294117647</v>
      </c>
      <c r="L64" s="2"/>
    </row>
    <row r="65" spans="1:12" ht="18.75">
      <c r="A65" s="2"/>
      <c r="B65" s="22" t="s">
        <v>17</v>
      </c>
      <c r="C65" s="9"/>
      <c r="D65" s="7"/>
      <c r="E65" s="134">
        <f aca="true" t="shared" si="25" ref="E65:K65">E52-E46-E64</f>
        <v>502.67843137254897</v>
      </c>
      <c r="F65" s="134">
        <f t="shared" si="25"/>
        <v>937.898039215686</v>
      </c>
      <c r="G65" s="134">
        <f t="shared" si="25"/>
        <v>3386.0004901960783</v>
      </c>
      <c r="H65" s="134">
        <f t="shared" si="25"/>
        <v>3476.637745098039</v>
      </c>
      <c r="I65" s="134">
        <f t="shared" si="25"/>
        <v>3707.1303921568624</v>
      </c>
      <c r="J65" s="134">
        <f t="shared" si="25"/>
        <v>3838.5544117647046</v>
      </c>
      <c r="K65" s="157">
        <f t="shared" si="25"/>
        <v>4138.711274509804</v>
      </c>
      <c r="L65" s="2"/>
    </row>
    <row r="66" spans="1:12" ht="19.5" thickBot="1">
      <c r="A66" s="2"/>
      <c r="B66" s="28" t="s">
        <v>59</v>
      </c>
      <c r="C66" s="104"/>
      <c r="D66" s="105"/>
      <c r="E66" s="160">
        <f aca="true" t="shared" si="26" ref="E66:K66">E65/E52</f>
        <v>0.42999999999999994</v>
      </c>
      <c r="F66" s="160">
        <f t="shared" si="26"/>
        <v>0.44955639097744354</v>
      </c>
      <c r="G66" s="160">
        <f t="shared" si="26"/>
        <v>0.4572011702331862</v>
      </c>
      <c r="H66" s="160">
        <f t="shared" si="26"/>
        <v>0.4564484074629459</v>
      </c>
      <c r="I66" s="160">
        <f t="shared" si="26"/>
        <v>0.4547094687221915</v>
      </c>
      <c r="J66" s="160">
        <f t="shared" si="26"/>
        <v>0.45381661074117213</v>
      </c>
      <c r="K66" s="161">
        <f t="shared" si="26"/>
        <v>0.45200095293670467</v>
      </c>
      <c r="L66" s="2"/>
    </row>
    <row r="67" spans="1:12" ht="19.5" thickBot="1">
      <c r="A67" s="2"/>
      <c r="B67" s="162" t="s">
        <v>73</v>
      </c>
      <c r="C67" s="163"/>
      <c r="D67" s="164"/>
      <c r="E67" s="165">
        <f>E52*$D$42</f>
        <v>350.70588235294116</v>
      </c>
      <c r="F67" s="165">
        <f aca="true" t="shared" si="27" ref="F67:K67">F52*$D$42</f>
        <v>625.8823529411764</v>
      </c>
      <c r="G67" s="165">
        <f t="shared" si="27"/>
        <v>2221.779411764706</v>
      </c>
      <c r="H67" s="165">
        <f t="shared" si="27"/>
        <v>2285.0147058823527</v>
      </c>
      <c r="I67" s="165">
        <f t="shared" si="27"/>
        <v>2445.8235294117644</v>
      </c>
      <c r="J67" s="165">
        <f t="shared" si="27"/>
        <v>2537.5147058823522</v>
      </c>
      <c r="K67" s="166">
        <f t="shared" si="27"/>
        <v>2746.926470588235</v>
      </c>
      <c r="L67" s="2"/>
    </row>
    <row r="68" spans="1:12" ht="18.75">
      <c r="A68" s="2"/>
      <c r="B68" s="140" t="s">
        <v>60</v>
      </c>
      <c r="C68" s="142"/>
      <c r="D68" s="143"/>
      <c r="E68" s="144">
        <f aca="true" t="shared" si="28" ref="E68:K68">E65-E67</f>
        <v>151.9725490196078</v>
      </c>
      <c r="F68" s="144">
        <f t="shared" si="28"/>
        <v>312.0156862745097</v>
      </c>
      <c r="G68" s="144">
        <f t="shared" si="28"/>
        <v>1164.2210784313725</v>
      </c>
      <c r="H68" s="144">
        <f t="shared" si="28"/>
        <v>1191.6230392156863</v>
      </c>
      <c r="I68" s="144">
        <f t="shared" si="28"/>
        <v>1261.306862745098</v>
      </c>
      <c r="J68" s="144">
        <f t="shared" si="28"/>
        <v>1301.0397058823523</v>
      </c>
      <c r="K68" s="145">
        <f t="shared" si="28"/>
        <v>1391.7848039215687</v>
      </c>
      <c r="L68" s="2"/>
    </row>
    <row r="69" spans="1:12" ht="18.75">
      <c r="A69" s="2"/>
      <c r="B69" s="141" t="s">
        <v>61</v>
      </c>
      <c r="C69" s="146"/>
      <c r="D69" s="147"/>
      <c r="E69" s="148">
        <f>+E68/E52</f>
        <v>0.12999999999999998</v>
      </c>
      <c r="F69" s="148">
        <f aca="true" t="shared" si="29" ref="F69:K69">+F68/F52</f>
        <v>0.14955639097744355</v>
      </c>
      <c r="G69" s="148">
        <f t="shared" si="29"/>
        <v>0.15720117023318617</v>
      </c>
      <c r="H69" s="148">
        <f t="shared" si="29"/>
        <v>0.15644840746294592</v>
      </c>
      <c r="I69" s="148">
        <f t="shared" si="29"/>
        <v>0.1547094687221915</v>
      </c>
      <c r="J69" s="148">
        <f t="shared" si="29"/>
        <v>0.15381661074117214</v>
      </c>
      <c r="K69" s="149">
        <f t="shared" si="29"/>
        <v>0.15200095293670468</v>
      </c>
      <c r="L69" s="2"/>
    </row>
    <row r="70" spans="1:12" ht="18.75">
      <c r="A70" s="2"/>
      <c r="B70" s="141" t="s">
        <v>31</v>
      </c>
      <c r="C70" s="146"/>
      <c r="D70" s="147"/>
      <c r="E70" s="148">
        <f>(+E53-E46-(E53*($D$43+0.01))-E61-E63-(E53*$D$42))/E53</f>
        <v>0.1655</v>
      </c>
      <c r="F70" s="148">
        <f aca="true" t="shared" si="30" ref="F70:K70">(+F53-F46-(F53*($D$43+0.01))-F61-F63-(F53*$D$42))/F53</f>
        <v>0.18407857142857142</v>
      </c>
      <c r="G70" s="148">
        <f t="shared" si="30"/>
        <v>0.1913411117215269</v>
      </c>
      <c r="H70" s="148">
        <f t="shared" si="30"/>
        <v>0.19062598708979867</v>
      </c>
      <c r="I70" s="148">
        <f t="shared" si="30"/>
        <v>0.18897399528608194</v>
      </c>
      <c r="J70" s="148">
        <f t="shared" si="30"/>
        <v>0.18812578020411355</v>
      </c>
      <c r="K70" s="149">
        <f t="shared" si="30"/>
        <v>0.18640090528986955</v>
      </c>
      <c r="L70" s="2"/>
    </row>
    <row r="71" spans="1:12" ht="18.75">
      <c r="A71" s="2"/>
      <c r="B71" s="141" t="s">
        <v>32</v>
      </c>
      <c r="C71" s="146"/>
      <c r="D71" s="147"/>
      <c r="E71" s="148">
        <f>(+E54-E46-(E54*($D$43+0.02))-E61-E63-(E54*$D$42))/E54</f>
        <v>0.179725</v>
      </c>
      <c r="F71" s="148">
        <f aca="true" t="shared" si="31" ref="F71:K71">(+F54-F46-(F54*($D$43+0.02))-F61-F63-(F54*$D$42))/F54</f>
        <v>0.19737464285714287</v>
      </c>
      <c r="G71" s="148">
        <f t="shared" si="31"/>
        <v>0.20427405613545052</v>
      </c>
      <c r="H71" s="148">
        <f t="shared" si="31"/>
        <v>0.20359468773530875</v>
      </c>
      <c r="I71" s="148">
        <f t="shared" si="31"/>
        <v>0.2020252955217779</v>
      </c>
      <c r="J71" s="148">
        <f t="shared" si="31"/>
        <v>0.201219491193908</v>
      </c>
      <c r="K71" s="149">
        <f t="shared" si="31"/>
        <v>0.199580860025376</v>
      </c>
      <c r="L71" s="2"/>
    </row>
    <row r="72" spans="1:12" ht="19.5" thickBot="1">
      <c r="A72" s="2"/>
      <c r="B72" s="130" t="s">
        <v>33</v>
      </c>
      <c r="C72" s="126"/>
      <c r="D72" s="127"/>
      <c r="E72" s="150">
        <f>(+E55-E46-(E55*($D$43+0.03))-E61-E63-(E55*$D$42))/E55</f>
        <v>0.19273874999999996</v>
      </c>
      <c r="F72" s="150">
        <f aca="true" t="shared" si="32" ref="F72:K72">(+F55-F46-(F55*($D$43+0.03))-F61-F63-(F55*$D$42))/F55</f>
        <v>0.20950591071428573</v>
      </c>
      <c r="G72" s="150">
        <f t="shared" si="32"/>
        <v>0.216060353328678</v>
      </c>
      <c r="H72" s="150">
        <f t="shared" si="32"/>
        <v>0.21541495334854327</v>
      </c>
      <c r="I72" s="150">
        <f t="shared" si="32"/>
        <v>0.21392403074568897</v>
      </c>
      <c r="J72" s="150">
        <f t="shared" si="32"/>
        <v>0.21315851663421262</v>
      </c>
      <c r="K72" s="151">
        <f t="shared" si="32"/>
        <v>0.21160181702410719</v>
      </c>
      <c r="L72" s="2"/>
    </row>
    <row r="73" spans="1:12" ht="12.75">
      <c r="A73" s="2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</row>
  </sheetData>
  <sheetProtection/>
  <mergeCells count="1">
    <mergeCell ref="B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3"/>
  <sheetViews>
    <sheetView zoomScale="75" zoomScaleNormal="75" zoomScalePageLayoutView="0" workbookViewId="0" topLeftCell="K1">
      <selection activeCell="B7" sqref="B7"/>
    </sheetView>
  </sheetViews>
  <sheetFormatPr defaultColWidth="9.140625" defaultRowHeight="12.75"/>
  <cols>
    <col min="2" max="2" width="67.8515625" style="0" customWidth="1"/>
    <col min="3" max="3" width="9.28125" style="0" bestFit="1" customWidth="1"/>
    <col min="4" max="4" width="11.421875" style="0" customWidth="1"/>
    <col min="5" max="5" width="12.421875" style="0" hidden="1" customWidth="1"/>
    <col min="6" max="11" width="12.421875" style="0" bestFit="1" customWidth="1"/>
    <col min="13" max="13" width="70.57421875" style="0" customWidth="1"/>
    <col min="15" max="15" width="11.57421875" style="0" customWidth="1"/>
    <col min="16" max="16" width="0" style="0" hidden="1" customWidth="1"/>
    <col min="17" max="17" width="12.00390625" style="0" customWidth="1"/>
    <col min="18" max="18" width="13.140625" style="0" customWidth="1"/>
    <col min="19" max="19" width="9.421875" style="0" bestFit="1" customWidth="1"/>
    <col min="20" max="20" width="11.8515625" style="0" bestFit="1" customWidth="1"/>
    <col min="21" max="21" width="13.57421875" style="0" customWidth="1"/>
    <col min="22" max="22" width="13.00390625" style="0" customWidth="1"/>
    <col min="24" max="24" width="68.421875" style="0" customWidth="1"/>
    <col min="26" max="26" width="11.57421875" style="0" customWidth="1"/>
    <col min="27" max="27" width="9.421875" style="0" hidden="1" customWidth="1"/>
    <col min="28" max="33" width="12.421875" style="0" bestFit="1" customWidth="1"/>
  </cols>
  <sheetData>
    <row r="1" spans="1:24" ht="20.25">
      <c r="A1" s="2"/>
      <c r="B1" s="173" t="s">
        <v>91</v>
      </c>
      <c r="C1" s="1"/>
      <c r="D1" s="2"/>
      <c r="E1" s="2"/>
      <c r="F1" s="2"/>
      <c r="G1" s="2"/>
      <c r="H1" s="2"/>
      <c r="I1" s="2"/>
      <c r="J1" s="2"/>
      <c r="K1" s="2"/>
      <c r="L1" s="2"/>
      <c r="M1" s="173" t="s">
        <v>91</v>
      </c>
      <c r="N1" s="1"/>
      <c r="O1" s="2"/>
      <c r="P1" s="2"/>
      <c r="Q1" s="2"/>
      <c r="R1" s="2"/>
      <c r="S1" s="2"/>
      <c r="T1" s="2"/>
      <c r="U1" s="2"/>
      <c r="V1" s="2"/>
      <c r="X1" s="173" t="s">
        <v>91</v>
      </c>
    </row>
    <row r="2" spans="1:24" ht="20.25">
      <c r="A2" s="2"/>
      <c r="B2" s="173" t="s">
        <v>86</v>
      </c>
      <c r="C2" s="1"/>
      <c r="D2" s="2"/>
      <c r="E2" s="2"/>
      <c r="F2" s="2"/>
      <c r="G2" s="2"/>
      <c r="H2" s="2"/>
      <c r="I2" s="2"/>
      <c r="J2" s="2"/>
      <c r="K2" s="2"/>
      <c r="L2" s="2"/>
      <c r="M2" s="173" t="s">
        <v>83</v>
      </c>
      <c r="N2" s="1"/>
      <c r="O2" s="2"/>
      <c r="P2" s="2"/>
      <c r="Q2" s="2"/>
      <c r="R2" s="2"/>
      <c r="S2" s="2"/>
      <c r="T2" s="2"/>
      <c r="U2" s="2"/>
      <c r="V2" s="2"/>
      <c r="X2" s="167" t="s">
        <v>7</v>
      </c>
    </row>
    <row r="3" spans="1:22" ht="15.75">
      <c r="A3" s="2"/>
      <c r="B3" s="222" t="s">
        <v>12</v>
      </c>
      <c r="C3" s="1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2"/>
      <c r="P3" s="2"/>
      <c r="Q3" s="2"/>
      <c r="R3" s="2"/>
      <c r="S3" s="2"/>
      <c r="T3" s="2"/>
      <c r="U3" s="2"/>
      <c r="V3" s="2"/>
    </row>
    <row r="4" spans="1:33" ht="27" thickBot="1">
      <c r="A4" s="2"/>
      <c r="B4" s="377" t="s">
        <v>88</v>
      </c>
      <c r="C4" s="377"/>
      <c r="D4" s="377"/>
      <c r="E4" s="377"/>
      <c r="F4" s="377"/>
      <c r="G4" s="377"/>
      <c r="H4" s="377"/>
      <c r="I4" s="377"/>
      <c r="J4" s="377"/>
      <c r="K4" s="377"/>
      <c r="L4" s="2"/>
      <c r="M4" s="377" t="s">
        <v>88</v>
      </c>
      <c r="N4" s="377"/>
      <c r="O4" s="377"/>
      <c r="P4" s="377"/>
      <c r="Q4" s="377"/>
      <c r="R4" s="377"/>
      <c r="S4" s="377"/>
      <c r="T4" s="377"/>
      <c r="U4" s="377"/>
      <c r="V4" s="377"/>
      <c r="X4" s="377" t="s">
        <v>88</v>
      </c>
      <c r="Y4" s="377"/>
      <c r="Z4" s="377"/>
      <c r="AA4" s="377"/>
      <c r="AB4" s="377"/>
      <c r="AC4" s="377"/>
      <c r="AD4" s="377"/>
      <c r="AE4" s="377"/>
      <c r="AF4" s="377"/>
      <c r="AG4" s="377"/>
    </row>
    <row r="5" spans="1:33" ht="19.5" thickBot="1">
      <c r="A5" s="5"/>
      <c r="B5" s="38"/>
      <c r="C5" s="49" t="s">
        <v>57</v>
      </c>
      <c r="D5" s="50" t="s">
        <v>58</v>
      </c>
      <c r="E5" s="51" t="s">
        <v>50</v>
      </c>
      <c r="F5" s="52" t="s">
        <v>51</v>
      </c>
      <c r="G5" s="221" t="s">
        <v>53</v>
      </c>
      <c r="H5" s="221" t="s">
        <v>52</v>
      </c>
      <c r="I5" s="52" t="s">
        <v>54</v>
      </c>
      <c r="J5" s="52" t="s">
        <v>55</v>
      </c>
      <c r="K5" s="53" t="s">
        <v>56</v>
      </c>
      <c r="L5" s="5"/>
      <c r="M5" s="38"/>
      <c r="N5" s="49" t="s">
        <v>57</v>
      </c>
      <c r="O5" s="50" t="s">
        <v>58</v>
      </c>
      <c r="P5" s="51" t="s">
        <v>50</v>
      </c>
      <c r="Q5" s="221" t="s">
        <v>51</v>
      </c>
      <c r="R5" s="221" t="s">
        <v>53</v>
      </c>
      <c r="S5" s="52" t="s">
        <v>52</v>
      </c>
      <c r="T5" s="52" t="s">
        <v>54</v>
      </c>
      <c r="U5" s="52" t="s">
        <v>55</v>
      </c>
      <c r="V5" s="53" t="s">
        <v>56</v>
      </c>
      <c r="X5" s="38"/>
      <c r="Y5" s="49" t="s">
        <v>57</v>
      </c>
      <c r="Z5" s="50" t="s">
        <v>58</v>
      </c>
      <c r="AA5" s="51" t="s">
        <v>50</v>
      </c>
      <c r="AB5" s="52" t="s">
        <v>51</v>
      </c>
      <c r="AC5" s="221" t="s">
        <v>53</v>
      </c>
      <c r="AD5" s="221" t="s">
        <v>52</v>
      </c>
      <c r="AE5" s="52" t="s">
        <v>54</v>
      </c>
      <c r="AF5" s="52" t="s">
        <v>55</v>
      </c>
      <c r="AG5" s="53" t="s">
        <v>56</v>
      </c>
    </row>
    <row r="6" spans="1:33" ht="18.75">
      <c r="A6" s="2"/>
      <c r="B6" s="35" t="s">
        <v>84</v>
      </c>
      <c r="C6" s="185"/>
      <c r="D6" s="186"/>
      <c r="E6" s="187">
        <v>0</v>
      </c>
      <c r="F6" s="187">
        <v>720</v>
      </c>
      <c r="G6" s="187">
        <v>815</v>
      </c>
      <c r="H6" s="187">
        <v>835</v>
      </c>
      <c r="I6" s="187">
        <v>960</v>
      </c>
      <c r="J6" s="187">
        <v>1055</v>
      </c>
      <c r="K6" s="188">
        <v>1245</v>
      </c>
      <c r="L6" s="2"/>
      <c r="M6" s="35" t="s">
        <v>3</v>
      </c>
      <c r="N6" s="185"/>
      <c r="O6" s="186"/>
      <c r="P6" s="187">
        <v>0</v>
      </c>
      <c r="Q6" s="187">
        <v>317</v>
      </c>
      <c r="R6" s="187">
        <v>335</v>
      </c>
      <c r="S6" s="187">
        <v>0</v>
      </c>
      <c r="T6" s="187">
        <v>0</v>
      </c>
      <c r="U6" s="187">
        <v>0</v>
      </c>
      <c r="V6" s="188">
        <v>0</v>
      </c>
      <c r="X6" s="35" t="s">
        <v>8</v>
      </c>
      <c r="Y6" s="185"/>
      <c r="Z6" s="186"/>
      <c r="AA6" s="187">
        <v>0</v>
      </c>
      <c r="AB6" s="187">
        <v>534</v>
      </c>
      <c r="AC6" s="187">
        <v>563</v>
      </c>
      <c r="AD6" s="187">
        <v>623</v>
      </c>
      <c r="AE6" s="187">
        <v>771</v>
      </c>
      <c r="AF6" s="187">
        <v>831</v>
      </c>
      <c r="AG6" s="188">
        <v>985</v>
      </c>
    </row>
    <row r="7" spans="1:33" ht="18.75">
      <c r="A7" s="2"/>
      <c r="B7" s="21" t="s">
        <v>28</v>
      </c>
      <c r="C7" s="189"/>
      <c r="D7" s="11"/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190">
        <v>0</v>
      </c>
      <c r="L7" s="2"/>
      <c r="M7" s="21" t="s">
        <v>28</v>
      </c>
      <c r="N7" s="189"/>
      <c r="O7" s="11"/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190">
        <v>0</v>
      </c>
      <c r="X7" s="21" t="s">
        <v>28</v>
      </c>
      <c r="Y7" s="189"/>
      <c r="Z7" s="11"/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190">
        <v>0</v>
      </c>
    </row>
    <row r="8" spans="1:33" ht="18.75">
      <c r="A8" s="2"/>
      <c r="B8" s="21" t="s">
        <v>85</v>
      </c>
      <c r="C8" s="189"/>
      <c r="D8" s="10"/>
      <c r="E8" s="47">
        <v>0</v>
      </c>
      <c r="F8" s="47">
        <v>750</v>
      </c>
      <c r="G8" s="47">
        <v>750</v>
      </c>
      <c r="H8" s="47">
        <v>750</v>
      </c>
      <c r="I8" s="47">
        <v>800</v>
      </c>
      <c r="J8" s="47">
        <v>800</v>
      </c>
      <c r="K8" s="190">
        <v>900</v>
      </c>
      <c r="L8" s="2"/>
      <c r="M8" s="21" t="s">
        <v>4</v>
      </c>
      <c r="N8" s="189"/>
      <c r="O8" s="10"/>
      <c r="P8" s="47">
        <v>0</v>
      </c>
      <c r="Q8" s="47">
        <v>575</v>
      </c>
      <c r="R8" s="47">
        <v>575</v>
      </c>
      <c r="S8" s="47">
        <v>0</v>
      </c>
      <c r="T8" s="47">
        <v>0</v>
      </c>
      <c r="U8" s="47">
        <v>0</v>
      </c>
      <c r="V8" s="190">
        <v>0</v>
      </c>
      <c r="X8" s="21" t="s">
        <v>2</v>
      </c>
      <c r="Y8" s="189"/>
      <c r="Z8" s="10"/>
      <c r="AA8" s="47">
        <v>0</v>
      </c>
      <c r="AB8" s="47">
        <v>750</v>
      </c>
      <c r="AC8" s="47">
        <v>750</v>
      </c>
      <c r="AD8" s="47">
        <v>750</v>
      </c>
      <c r="AE8" s="47">
        <v>800</v>
      </c>
      <c r="AF8" s="47">
        <v>800</v>
      </c>
      <c r="AG8" s="190">
        <v>900</v>
      </c>
    </row>
    <row r="9" spans="1:33" ht="19.5" thickBot="1">
      <c r="A9" s="2"/>
      <c r="B9" s="39" t="s">
        <v>38</v>
      </c>
      <c r="C9" s="191"/>
      <c r="D9" s="41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192">
        <v>0</v>
      </c>
      <c r="L9" s="2"/>
      <c r="M9" s="39" t="s">
        <v>38</v>
      </c>
      <c r="N9" s="191"/>
      <c r="O9" s="41"/>
      <c r="P9" s="48">
        <v>0</v>
      </c>
      <c r="Q9" s="48">
        <v>95</v>
      </c>
      <c r="R9" s="48">
        <v>98</v>
      </c>
      <c r="S9" s="48">
        <v>0</v>
      </c>
      <c r="T9" s="48">
        <v>0</v>
      </c>
      <c r="U9" s="48">
        <v>0</v>
      </c>
      <c r="V9" s="192">
        <v>0</v>
      </c>
      <c r="X9" s="39" t="s">
        <v>38</v>
      </c>
      <c r="Y9" s="191"/>
      <c r="Z9" s="41"/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192">
        <v>0</v>
      </c>
    </row>
    <row r="10" spans="1:33" ht="19.5" thickBot="1">
      <c r="A10" s="2"/>
      <c r="B10" s="45" t="s">
        <v>39</v>
      </c>
      <c r="C10" s="193"/>
      <c r="D10" s="34"/>
      <c r="E10" s="43">
        <f>SUM(E6:E9)</f>
        <v>0</v>
      </c>
      <c r="F10" s="43">
        <f aca="true" t="shared" si="0" ref="F10:K10">SUM(F6:F9)</f>
        <v>1470</v>
      </c>
      <c r="G10" s="43">
        <f t="shared" si="0"/>
        <v>1565</v>
      </c>
      <c r="H10" s="43">
        <f t="shared" si="0"/>
        <v>1585</v>
      </c>
      <c r="I10" s="43">
        <f t="shared" si="0"/>
        <v>1760</v>
      </c>
      <c r="J10" s="43">
        <f t="shared" si="0"/>
        <v>1855</v>
      </c>
      <c r="K10" s="44">
        <f t="shared" si="0"/>
        <v>2145</v>
      </c>
      <c r="L10" s="2"/>
      <c r="M10" s="45" t="s">
        <v>39</v>
      </c>
      <c r="N10" s="193"/>
      <c r="O10" s="34"/>
      <c r="P10" s="43">
        <f aca="true" t="shared" si="1" ref="P10:V10">SUM(P6:P9)</f>
        <v>0</v>
      </c>
      <c r="Q10" s="43">
        <f t="shared" si="1"/>
        <v>987</v>
      </c>
      <c r="R10" s="43">
        <f t="shared" si="1"/>
        <v>1008</v>
      </c>
      <c r="S10" s="43">
        <f t="shared" si="1"/>
        <v>0</v>
      </c>
      <c r="T10" s="43">
        <f t="shared" si="1"/>
        <v>0</v>
      </c>
      <c r="U10" s="43">
        <f t="shared" si="1"/>
        <v>0</v>
      </c>
      <c r="V10" s="44">
        <f t="shared" si="1"/>
        <v>0</v>
      </c>
      <c r="X10" s="45" t="s">
        <v>39</v>
      </c>
      <c r="Y10" s="193"/>
      <c r="Z10" s="34"/>
      <c r="AA10" s="43">
        <f aca="true" t="shared" si="2" ref="AA10:AG10">SUM(AA6:AA9)</f>
        <v>0</v>
      </c>
      <c r="AB10" s="43">
        <f t="shared" si="2"/>
        <v>1284</v>
      </c>
      <c r="AC10" s="43">
        <f t="shared" si="2"/>
        <v>1313</v>
      </c>
      <c r="AD10" s="43">
        <f t="shared" si="2"/>
        <v>1373</v>
      </c>
      <c r="AE10" s="43">
        <f t="shared" si="2"/>
        <v>1571</v>
      </c>
      <c r="AF10" s="43">
        <f t="shared" si="2"/>
        <v>1631</v>
      </c>
      <c r="AG10" s="44">
        <f t="shared" si="2"/>
        <v>1885</v>
      </c>
    </row>
    <row r="11" spans="1:33" ht="18.75">
      <c r="A11" s="2"/>
      <c r="B11" s="35" t="s">
        <v>9</v>
      </c>
      <c r="C11" s="194"/>
      <c r="D11" s="42"/>
      <c r="E11" s="46">
        <v>0</v>
      </c>
      <c r="F11" s="46">
        <f aca="true" t="shared" si="3" ref="F11:K11">+(90+25)</f>
        <v>115</v>
      </c>
      <c r="G11" s="46">
        <f t="shared" si="3"/>
        <v>115</v>
      </c>
      <c r="H11" s="46">
        <f t="shared" si="3"/>
        <v>115</v>
      </c>
      <c r="I11" s="46">
        <f t="shared" si="3"/>
        <v>115</v>
      </c>
      <c r="J11" s="46">
        <f t="shared" si="3"/>
        <v>115</v>
      </c>
      <c r="K11" s="46">
        <f t="shared" si="3"/>
        <v>115</v>
      </c>
      <c r="L11" s="2"/>
      <c r="M11" s="35" t="s">
        <v>9</v>
      </c>
      <c r="N11" s="194"/>
      <c r="O11" s="42"/>
      <c r="P11" s="46">
        <v>0</v>
      </c>
      <c r="Q11" s="46">
        <f aca="true" t="shared" si="4" ref="Q11:V11">+(90+25)</f>
        <v>115</v>
      </c>
      <c r="R11" s="46">
        <f t="shared" si="4"/>
        <v>115</v>
      </c>
      <c r="S11" s="46">
        <f t="shared" si="4"/>
        <v>115</v>
      </c>
      <c r="T11" s="46">
        <f t="shared" si="4"/>
        <v>115</v>
      </c>
      <c r="U11" s="46">
        <f t="shared" si="4"/>
        <v>115</v>
      </c>
      <c r="V11" s="46">
        <f t="shared" si="4"/>
        <v>115</v>
      </c>
      <c r="X11" s="35" t="s">
        <v>9</v>
      </c>
      <c r="Y11" s="194"/>
      <c r="Z11" s="42"/>
      <c r="AA11" s="46">
        <f aca="true" t="shared" si="5" ref="AA11:AF11">+(90+25)</f>
        <v>115</v>
      </c>
      <c r="AB11" s="46">
        <f t="shared" si="5"/>
        <v>115</v>
      </c>
      <c r="AC11" s="46">
        <f t="shared" si="5"/>
        <v>115</v>
      </c>
      <c r="AD11" s="46">
        <f t="shared" si="5"/>
        <v>115</v>
      </c>
      <c r="AE11" s="46">
        <f t="shared" si="5"/>
        <v>115</v>
      </c>
      <c r="AF11" s="46">
        <f t="shared" si="5"/>
        <v>115</v>
      </c>
      <c r="AG11" s="195">
        <v>115</v>
      </c>
    </row>
    <row r="12" spans="1:33" ht="19.5" thickBot="1">
      <c r="A12" s="2"/>
      <c r="B12" s="39" t="s">
        <v>18</v>
      </c>
      <c r="C12" s="191"/>
      <c r="D12" s="76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192">
        <v>0</v>
      </c>
      <c r="L12" s="2"/>
      <c r="M12" s="39" t="s">
        <v>18</v>
      </c>
      <c r="N12" s="191"/>
      <c r="O12" s="76"/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192">
        <v>0</v>
      </c>
      <c r="X12" s="39" t="s">
        <v>18</v>
      </c>
      <c r="Y12" s="191"/>
      <c r="Z12" s="76"/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192">
        <v>0</v>
      </c>
    </row>
    <row r="13" spans="1:33" ht="19.5" thickBot="1">
      <c r="A13" s="2"/>
      <c r="B13" s="77" t="s">
        <v>65</v>
      </c>
      <c r="C13" s="196"/>
      <c r="D13" s="79">
        <v>0.075</v>
      </c>
      <c r="E13" s="80">
        <f>+$D$13*SUM(E10:E12)</f>
        <v>0</v>
      </c>
      <c r="F13" s="80">
        <f aca="true" t="shared" si="6" ref="F13:K13">+$D$13*SUM(F10:F12)</f>
        <v>118.875</v>
      </c>
      <c r="G13" s="80">
        <f t="shared" si="6"/>
        <v>126</v>
      </c>
      <c r="H13" s="80">
        <f t="shared" si="6"/>
        <v>127.5</v>
      </c>
      <c r="I13" s="80">
        <f t="shared" si="6"/>
        <v>140.625</v>
      </c>
      <c r="J13" s="80">
        <f t="shared" si="6"/>
        <v>147.75</v>
      </c>
      <c r="K13" s="81">
        <f t="shared" si="6"/>
        <v>169.5</v>
      </c>
      <c r="L13" s="2"/>
      <c r="M13" s="77" t="s">
        <v>65</v>
      </c>
      <c r="N13" s="196"/>
      <c r="O13" s="79">
        <v>0.075</v>
      </c>
      <c r="P13" s="80">
        <f>+$D$13*SUM(P10:P12)</f>
        <v>0</v>
      </c>
      <c r="Q13" s="80">
        <f>+$O$13*SUM(Q10:Q12)</f>
        <v>82.64999999999999</v>
      </c>
      <c r="R13" s="80">
        <f>+$O$13*SUM(R10:R12)</f>
        <v>84.225</v>
      </c>
      <c r="S13" s="80">
        <f>+$D$13*SUM(S10:S12)</f>
        <v>8.625</v>
      </c>
      <c r="T13" s="80">
        <f>+$D$13*SUM(T10:T12)</f>
        <v>8.625</v>
      </c>
      <c r="U13" s="80">
        <f>+$D$13*SUM(U10:U12)</f>
        <v>8.625</v>
      </c>
      <c r="V13" s="81">
        <f>+$D$13*SUM(V10:V12)</f>
        <v>8.625</v>
      </c>
      <c r="X13" s="77" t="s">
        <v>65</v>
      </c>
      <c r="Y13" s="196"/>
      <c r="Z13" s="79">
        <v>0.075</v>
      </c>
      <c r="AA13" s="80">
        <f>+$Z$13*SUM(AA10:AA12)</f>
        <v>8.625</v>
      </c>
      <c r="AB13" s="80">
        <f aca="true" t="shared" si="7" ref="AB13:AG13">+$Z$13*SUM(AB10:AB12)</f>
        <v>104.925</v>
      </c>
      <c r="AC13" s="80">
        <f t="shared" si="7"/>
        <v>107.1</v>
      </c>
      <c r="AD13" s="80">
        <f t="shared" si="7"/>
        <v>111.6</v>
      </c>
      <c r="AE13" s="80">
        <f t="shared" si="7"/>
        <v>126.44999999999999</v>
      </c>
      <c r="AF13" s="80">
        <f t="shared" si="7"/>
        <v>130.95</v>
      </c>
      <c r="AG13" s="80">
        <f t="shared" si="7"/>
        <v>150</v>
      </c>
    </row>
    <row r="14" spans="1:33" ht="20.25" thickBot="1">
      <c r="A14" s="2"/>
      <c r="B14" s="54" t="s">
        <v>66</v>
      </c>
      <c r="C14" s="197"/>
      <c r="D14" s="57"/>
      <c r="E14" s="58">
        <f>SUM(E10:E13)</f>
        <v>0</v>
      </c>
      <c r="F14" s="58">
        <f aca="true" t="shared" si="8" ref="F14:K14">SUM(F10:F13)</f>
        <v>1703.875</v>
      </c>
      <c r="G14" s="58">
        <f t="shared" si="8"/>
        <v>1806</v>
      </c>
      <c r="H14" s="58">
        <f t="shared" si="8"/>
        <v>1827.5</v>
      </c>
      <c r="I14" s="58">
        <f t="shared" si="8"/>
        <v>2015.625</v>
      </c>
      <c r="J14" s="58">
        <f t="shared" si="8"/>
        <v>2117.75</v>
      </c>
      <c r="K14" s="59">
        <f t="shared" si="8"/>
        <v>2429.5</v>
      </c>
      <c r="L14" s="2"/>
      <c r="M14" s="54" t="s">
        <v>66</v>
      </c>
      <c r="N14" s="197"/>
      <c r="O14" s="57"/>
      <c r="P14" s="58">
        <f aca="true" t="shared" si="9" ref="P14:V14">SUM(P10:P13)</f>
        <v>0</v>
      </c>
      <c r="Q14" s="58">
        <f t="shared" si="9"/>
        <v>1184.65</v>
      </c>
      <c r="R14" s="58">
        <f t="shared" si="9"/>
        <v>1207.225</v>
      </c>
      <c r="S14" s="58">
        <f t="shared" si="9"/>
        <v>123.625</v>
      </c>
      <c r="T14" s="58">
        <f t="shared" si="9"/>
        <v>123.625</v>
      </c>
      <c r="U14" s="58">
        <f t="shared" si="9"/>
        <v>123.625</v>
      </c>
      <c r="V14" s="59">
        <f t="shared" si="9"/>
        <v>123.625</v>
      </c>
      <c r="X14" s="54" t="s">
        <v>66</v>
      </c>
      <c r="Y14" s="197"/>
      <c r="Z14" s="57"/>
      <c r="AA14" s="58">
        <f aca="true" t="shared" si="10" ref="AA14:AG14">SUM(AA10:AA13)</f>
        <v>123.625</v>
      </c>
      <c r="AB14" s="58">
        <f t="shared" si="10"/>
        <v>1503.925</v>
      </c>
      <c r="AC14" s="58">
        <f t="shared" si="10"/>
        <v>1535.1</v>
      </c>
      <c r="AD14" s="58">
        <f t="shared" si="10"/>
        <v>1599.6</v>
      </c>
      <c r="AE14" s="58">
        <f t="shared" si="10"/>
        <v>1812.45</v>
      </c>
      <c r="AF14" s="58">
        <f t="shared" si="10"/>
        <v>1876.95</v>
      </c>
      <c r="AG14" s="59">
        <f t="shared" si="10"/>
        <v>2150</v>
      </c>
    </row>
    <row r="15" spans="1:33" ht="19.5" thickBot="1">
      <c r="A15" s="2"/>
      <c r="B15" s="24"/>
      <c r="C15" s="198"/>
      <c r="D15" s="199"/>
      <c r="E15" s="200"/>
      <c r="F15" s="200"/>
      <c r="G15" s="200"/>
      <c r="H15" s="200"/>
      <c r="I15" s="200"/>
      <c r="J15" s="200"/>
      <c r="K15" s="201"/>
      <c r="L15" s="2"/>
      <c r="M15" s="24"/>
      <c r="N15" s="198"/>
      <c r="O15" s="199"/>
      <c r="P15" s="200"/>
      <c r="Q15" s="200"/>
      <c r="R15" s="200"/>
      <c r="S15" s="200"/>
      <c r="T15" s="200"/>
      <c r="U15" s="200"/>
      <c r="V15" s="201"/>
      <c r="X15" s="24"/>
      <c r="Y15" s="198"/>
      <c r="Z15" s="199"/>
      <c r="AA15" s="200"/>
      <c r="AB15" s="200"/>
      <c r="AC15" s="200"/>
      <c r="AD15" s="200"/>
      <c r="AE15" s="200"/>
      <c r="AF15" s="200"/>
      <c r="AG15" s="201"/>
    </row>
    <row r="16" spans="1:33" ht="18.75">
      <c r="A16" s="2"/>
      <c r="B16" s="25" t="s">
        <v>42</v>
      </c>
      <c r="C16" s="189"/>
      <c r="D16" s="11"/>
      <c r="E16" s="60">
        <v>0</v>
      </c>
      <c r="F16" s="60">
        <v>50</v>
      </c>
      <c r="G16" s="60">
        <v>50</v>
      </c>
      <c r="H16" s="60">
        <v>50</v>
      </c>
      <c r="I16" s="60">
        <v>50</v>
      </c>
      <c r="J16" s="60">
        <v>50</v>
      </c>
      <c r="K16" s="202">
        <v>50</v>
      </c>
      <c r="L16" s="2"/>
      <c r="M16" s="25" t="s">
        <v>42</v>
      </c>
      <c r="N16" s="189"/>
      <c r="O16" s="11"/>
      <c r="P16" s="60">
        <v>0</v>
      </c>
      <c r="Q16" s="60">
        <v>50</v>
      </c>
      <c r="R16" s="60">
        <v>50</v>
      </c>
      <c r="S16" s="60">
        <v>50</v>
      </c>
      <c r="T16" s="60">
        <v>50</v>
      </c>
      <c r="U16" s="60">
        <v>50</v>
      </c>
      <c r="V16" s="202">
        <v>50</v>
      </c>
      <c r="X16" s="25" t="s">
        <v>42</v>
      </c>
      <c r="Y16" s="189"/>
      <c r="Z16" s="11"/>
      <c r="AA16" s="60">
        <v>0</v>
      </c>
      <c r="AB16" s="60">
        <v>50</v>
      </c>
      <c r="AC16" s="60">
        <v>50</v>
      </c>
      <c r="AD16" s="60">
        <v>50</v>
      </c>
      <c r="AE16" s="60">
        <v>50</v>
      </c>
      <c r="AF16" s="60">
        <v>50</v>
      </c>
      <c r="AG16" s="202">
        <v>50</v>
      </c>
    </row>
    <row r="17" spans="1:33" ht="18.75">
      <c r="A17" s="2"/>
      <c r="B17" s="21" t="s">
        <v>5</v>
      </c>
      <c r="C17" s="189"/>
      <c r="D17" s="11"/>
      <c r="E17" s="60">
        <v>0</v>
      </c>
      <c r="F17" s="60">
        <f aca="true" t="shared" si="11" ref="F17:K17">SUM(50+35)</f>
        <v>85</v>
      </c>
      <c r="G17" s="60">
        <f t="shared" si="11"/>
        <v>85</v>
      </c>
      <c r="H17" s="60">
        <f t="shared" si="11"/>
        <v>85</v>
      </c>
      <c r="I17" s="60">
        <f t="shared" si="11"/>
        <v>85</v>
      </c>
      <c r="J17" s="60">
        <f t="shared" si="11"/>
        <v>85</v>
      </c>
      <c r="K17" s="60">
        <f t="shared" si="11"/>
        <v>85</v>
      </c>
      <c r="L17" s="2"/>
      <c r="M17" s="21" t="s">
        <v>0</v>
      </c>
      <c r="N17" s="189"/>
      <c r="O17" s="11"/>
      <c r="P17" s="60">
        <v>0</v>
      </c>
      <c r="Q17" s="60">
        <f aca="true" t="shared" si="12" ref="Q17:V17">SUM(50+35)</f>
        <v>85</v>
      </c>
      <c r="R17" s="60">
        <f t="shared" si="12"/>
        <v>85</v>
      </c>
      <c r="S17" s="60">
        <f t="shared" si="12"/>
        <v>85</v>
      </c>
      <c r="T17" s="60">
        <f t="shared" si="12"/>
        <v>85</v>
      </c>
      <c r="U17" s="60">
        <f t="shared" si="12"/>
        <v>85</v>
      </c>
      <c r="V17" s="60">
        <f t="shared" si="12"/>
        <v>85</v>
      </c>
      <c r="X17" s="21" t="s">
        <v>5</v>
      </c>
      <c r="Y17" s="189"/>
      <c r="Z17" s="11"/>
      <c r="AA17" s="60">
        <v>0</v>
      </c>
      <c r="AB17" s="60">
        <f aca="true" t="shared" si="13" ref="AB17:AG17">SUM(50+35)</f>
        <v>85</v>
      </c>
      <c r="AC17" s="60">
        <f t="shared" si="13"/>
        <v>85</v>
      </c>
      <c r="AD17" s="60">
        <f t="shared" si="13"/>
        <v>85</v>
      </c>
      <c r="AE17" s="60">
        <f t="shared" si="13"/>
        <v>85</v>
      </c>
      <c r="AF17" s="60">
        <f t="shared" si="13"/>
        <v>85</v>
      </c>
      <c r="AG17" s="60">
        <f t="shared" si="13"/>
        <v>85</v>
      </c>
    </row>
    <row r="18" spans="1:33" ht="18.75">
      <c r="A18" s="2"/>
      <c r="B18" s="22" t="s">
        <v>6</v>
      </c>
      <c r="C18" s="203"/>
      <c r="D18" s="16"/>
      <c r="E18" s="61">
        <v>0</v>
      </c>
      <c r="F18" s="61">
        <v>15</v>
      </c>
      <c r="G18" s="61">
        <v>15</v>
      </c>
      <c r="H18" s="61">
        <v>15</v>
      </c>
      <c r="I18" s="61">
        <v>15</v>
      </c>
      <c r="J18" s="61">
        <v>15</v>
      </c>
      <c r="K18" s="204">
        <v>15</v>
      </c>
      <c r="L18" s="2"/>
      <c r="M18" s="22" t="s">
        <v>21</v>
      </c>
      <c r="N18" s="203"/>
      <c r="O18" s="16"/>
      <c r="P18" s="61">
        <v>0</v>
      </c>
      <c r="Q18" s="61">
        <v>15</v>
      </c>
      <c r="R18" s="61">
        <v>15</v>
      </c>
      <c r="S18" s="61">
        <v>15</v>
      </c>
      <c r="T18" s="61">
        <v>15</v>
      </c>
      <c r="U18" s="61">
        <v>15</v>
      </c>
      <c r="V18" s="204">
        <v>15</v>
      </c>
      <c r="X18" s="22" t="s">
        <v>6</v>
      </c>
      <c r="Y18" s="203"/>
      <c r="Z18" s="16"/>
      <c r="AA18" s="61">
        <v>0</v>
      </c>
      <c r="AB18" s="61">
        <v>15</v>
      </c>
      <c r="AC18" s="61">
        <v>15</v>
      </c>
      <c r="AD18" s="61">
        <v>15</v>
      </c>
      <c r="AE18" s="61">
        <v>15</v>
      </c>
      <c r="AF18" s="61">
        <v>15</v>
      </c>
      <c r="AG18" s="204">
        <v>15</v>
      </c>
    </row>
    <row r="19" spans="1:33" ht="18.75">
      <c r="A19" s="2"/>
      <c r="B19" s="21" t="s">
        <v>22</v>
      </c>
      <c r="C19" s="189"/>
      <c r="D19" s="11"/>
      <c r="E19" s="60">
        <v>0</v>
      </c>
      <c r="F19" s="60">
        <v>35</v>
      </c>
      <c r="G19" s="60">
        <v>35</v>
      </c>
      <c r="H19" s="60">
        <v>35</v>
      </c>
      <c r="I19" s="60">
        <v>35</v>
      </c>
      <c r="J19" s="60">
        <v>35</v>
      </c>
      <c r="K19" s="202">
        <v>35</v>
      </c>
      <c r="L19" s="2"/>
      <c r="M19" s="21" t="s">
        <v>22</v>
      </c>
      <c r="N19" s="189"/>
      <c r="O19" s="11"/>
      <c r="P19" s="60">
        <v>0</v>
      </c>
      <c r="Q19" s="60">
        <v>35</v>
      </c>
      <c r="R19" s="60">
        <v>35</v>
      </c>
      <c r="S19" s="60">
        <v>35</v>
      </c>
      <c r="T19" s="60">
        <v>35</v>
      </c>
      <c r="U19" s="60">
        <v>35</v>
      </c>
      <c r="V19" s="202">
        <v>35</v>
      </c>
      <c r="X19" s="21" t="s">
        <v>22</v>
      </c>
      <c r="Y19" s="189"/>
      <c r="Z19" s="11"/>
      <c r="AA19" s="60">
        <v>0</v>
      </c>
      <c r="AB19" s="60">
        <v>35</v>
      </c>
      <c r="AC19" s="60">
        <v>35</v>
      </c>
      <c r="AD19" s="60">
        <v>35</v>
      </c>
      <c r="AE19" s="60">
        <v>35</v>
      </c>
      <c r="AF19" s="60">
        <v>35</v>
      </c>
      <c r="AG19" s="202">
        <v>35</v>
      </c>
    </row>
    <row r="20" spans="1:33" ht="18.75">
      <c r="A20" s="2"/>
      <c r="B20" s="21" t="s">
        <v>23</v>
      </c>
      <c r="C20" s="189"/>
      <c r="D20" s="11"/>
      <c r="E20" s="60">
        <v>0</v>
      </c>
      <c r="F20" s="60">
        <v>25</v>
      </c>
      <c r="G20" s="60">
        <v>25</v>
      </c>
      <c r="H20" s="60">
        <v>25</v>
      </c>
      <c r="I20" s="60">
        <v>25</v>
      </c>
      <c r="J20" s="60">
        <v>25</v>
      </c>
      <c r="K20" s="202">
        <v>25</v>
      </c>
      <c r="L20" s="2"/>
      <c r="M20" s="21" t="s">
        <v>23</v>
      </c>
      <c r="N20" s="189"/>
      <c r="O20" s="11"/>
      <c r="P20" s="60">
        <v>0</v>
      </c>
      <c r="Q20" s="60">
        <v>25</v>
      </c>
      <c r="R20" s="60">
        <v>25</v>
      </c>
      <c r="S20" s="60">
        <v>25</v>
      </c>
      <c r="T20" s="60">
        <v>25</v>
      </c>
      <c r="U20" s="60">
        <v>25</v>
      </c>
      <c r="V20" s="202">
        <v>25</v>
      </c>
      <c r="X20" s="21" t="s">
        <v>23</v>
      </c>
      <c r="Y20" s="189"/>
      <c r="Z20" s="11"/>
      <c r="AA20" s="60">
        <v>0</v>
      </c>
      <c r="AB20" s="60">
        <v>25</v>
      </c>
      <c r="AC20" s="60">
        <v>25</v>
      </c>
      <c r="AD20" s="60">
        <v>25</v>
      </c>
      <c r="AE20" s="60">
        <v>25</v>
      </c>
      <c r="AF20" s="60">
        <v>25</v>
      </c>
      <c r="AG20" s="202">
        <v>25</v>
      </c>
    </row>
    <row r="21" spans="1:33" ht="18.75">
      <c r="A21" s="2"/>
      <c r="B21" s="21" t="s">
        <v>41</v>
      </c>
      <c r="C21" s="189"/>
      <c r="D21" s="11"/>
      <c r="E21" s="60">
        <v>0</v>
      </c>
      <c r="F21" s="60">
        <v>25</v>
      </c>
      <c r="G21" s="60">
        <v>25</v>
      </c>
      <c r="H21" s="60">
        <v>25</v>
      </c>
      <c r="I21" s="60">
        <v>25</v>
      </c>
      <c r="J21" s="60">
        <v>25</v>
      </c>
      <c r="K21" s="202">
        <v>25</v>
      </c>
      <c r="L21" s="2"/>
      <c r="M21" s="21" t="s">
        <v>41</v>
      </c>
      <c r="N21" s="189"/>
      <c r="O21" s="11"/>
      <c r="P21" s="60">
        <v>0</v>
      </c>
      <c r="Q21" s="60">
        <v>25</v>
      </c>
      <c r="R21" s="60">
        <v>25</v>
      </c>
      <c r="S21" s="60">
        <v>25</v>
      </c>
      <c r="T21" s="60">
        <v>25</v>
      </c>
      <c r="U21" s="60">
        <v>25</v>
      </c>
      <c r="V21" s="202">
        <v>25</v>
      </c>
      <c r="X21" s="21" t="s">
        <v>41</v>
      </c>
      <c r="Y21" s="189"/>
      <c r="Z21" s="11"/>
      <c r="AA21" s="60">
        <v>0</v>
      </c>
      <c r="AB21" s="60">
        <v>25</v>
      </c>
      <c r="AC21" s="60">
        <v>25</v>
      </c>
      <c r="AD21" s="60">
        <v>25</v>
      </c>
      <c r="AE21" s="60">
        <v>25</v>
      </c>
      <c r="AF21" s="60">
        <v>25</v>
      </c>
      <c r="AG21" s="202">
        <v>25</v>
      </c>
    </row>
    <row r="22" spans="1:33" ht="18.75">
      <c r="A22" s="2"/>
      <c r="B22" s="21" t="s">
        <v>98</v>
      </c>
      <c r="C22" s="189"/>
      <c r="D22" s="11"/>
      <c r="E22" s="60">
        <v>0</v>
      </c>
      <c r="F22" s="60">
        <v>45</v>
      </c>
      <c r="G22" s="60">
        <v>45</v>
      </c>
      <c r="H22" s="60">
        <v>45</v>
      </c>
      <c r="I22" s="60">
        <v>45</v>
      </c>
      <c r="J22" s="60">
        <v>45</v>
      </c>
      <c r="K22" s="202">
        <v>45</v>
      </c>
      <c r="L22" s="2"/>
      <c r="M22" s="21" t="s">
        <v>19</v>
      </c>
      <c r="N22" s="189"/>
      <c r="O22" s="11"/>
      <c r="P22" s="60">
        <v>0</v>
      </c>
      <c r="Q22" s="60">
        <v>45</v>
      </c>
      <c r="R22" s="60">
        <v>45</v>
      </c>
      <c r="S22" s="60">
        <v>45</v>
      </c>
      <c r="T22" s="60">
        <v>45</v>
      </c>
      <c r="U22" s="60">
        <v>45</v>
      </c>
      <c r="V22" s="202">
        <v>45</v>
      </c>
      <c r="X22" s="21" t="s">
        <v>98</v>
      </c>
      <c r="Y22" s="189"/>
      <c r="Z22" s="11"/>
      <c r="AA22" s="60">
        <v>0</v>
      </c>
      <c r="AB22" s="60">
        <v>45</v>
      </c>
      <c r="AC22" s="60">
        <v>45</v>
      </c>
      <c r="AD22" s="60">
        <v>45</v>
      </c>
      <c r="AE22" s="60">
        <v>45</v>
      </c>
      <c r="AF22" s="60">
        <v>45</v>
      </c>
      <c r="AG22" s="202">
        <v>45</v>
      </c>
    </row>
    <row r="23" spans="1:33" ht="18.75">
      <c r="A23" s="2"/>
      <c r="B23" s="21" t="s">
        <v>29</v>
      </c>
      <c r="C23" s="189"/>
      <c r="D23" s="11"/>
      <c r="E23" s="60">
        <v>0</v>
      </c>
      <c r="F23" s="60">
        <v>20</v>
      </c>
      <c r="G23" s="60">
        <v>20</v>
      </c>
      <c r="H23" s="60">
        <v>20</v>
      </c>
      <c r="I23" s="60">
        <v>20</v>
      </c>
      <c r="J23" s="60">
        <v>20</v>
      </c>
      <c r="K23" s="202">
        <v>20</v>
      </c>
      <c r="L23" s="2"/>
      <c r="M23" s="21" t="s">
        <v>29</v>
      </c>
      <c r="N23" s="189"/>
      <c r="O23" s="11"/>
      <c r="P23" s="60">
        <v>0</v>
      </c>
      <c r="Q23" s="60">
        <v>20</v>
      </c>
      <c r="R23" s="60">
        <v>20</v>
      </c>
      <c r="S23" s="60">
        <v>20</v>
      </c>
      <c r="T23" s="60">
        <v>20</v>
      </c>
      <c r="U23" s="60">
        <v>20</v>
      </c>
      <c r="V23" s="202">
        <v>20</v>
      </c>
      <c r="X23" s="21" t="s">
        <v>29</v>
      </c>
      <c r="Y23" s="189"/>
      <c r="Z23" s="11"/>
      <c r="AA23" s="60">
        <v>0</v>
      </c>
      <c r="AB23" s="60">
        <v>20</v>
      </c>
      <c r="AC23" s="60">
        <v>20</v>
      </c>
      <c r="AD23" s="60">
        <v>20</v>
      </c>
      <c r="AE23" s="60">
        <v>20</v>
      </c>
      <c r="AF23" s="60">
        <v>20</v>
      </c>
      <c r="AG23" s="202">
        <v>20</v>
      </c>
    </row>
    <row r="24" spans="1:33" ht="19.5" thickBot="1">
      <c r="A24" s="2"/>
      <c r="B24" s="30" t="s">
        <v>24</v>
      </c>
      <c r="C24" s="205"/>
      <c r="D24" s="67"/>
      <c r="E24" s="68">
        <v>0</v>
      </c>
      <c r="F24" s="68">
        <v>60</v>
      </c>
      <c r="G24" s="68">
        <v>60</v>
      </c>
      <c r="H24" s="68">
        <v>60</v>
      </c>
      <c r="I24" s="68">
        <v>60</v>
      </c>
      <c r="J24" s="68">
        <v>60</v>
      </c>
      <c r="K24" s="206">
        <v>60</v>
      </c>
      <c r="L24" s="2"/>
      <c r="M24" s="30" t="s">
        <v>24</v>
      </c>
      <c r="N24" s="205"/>
      <c r="O24" s="67"/>
      <c r="P24" s="68">
        <v>0</v>
      </c>
      <c r="Q24" s="68">
        <v>60</v>
      </c>
      <c r="R24" s="68">
        <v>60</v>
      </c>
      <c r="S24" s="68">
        <v>60</v>
      </c>
      <c r="T24" s="68">
        <v>60</v>
      </c>
      <c r="U24" s="68">
        <v>60</v>
      </c>
      <c r="V24" s="206">
        <v>60</v>
      </c>
      <c r="X24" s="30" t="s">
        <v>24</v>
      </c>
      <c r="Y24" s="205"/>
      <c r="Z24" s="67"/>
      <c r="AA24" s="68">
        <v>0</v>
      </c>
      <c r="AB24" s="68">
        <v>60</v>
      </c>
      <c r="AC24" s="68">
        <v>60</v>
      </c>
      <c r="AD24" s="68">
        <v>60</v>
      </c>
      <c r="AE24" s="68">
        <v>60</v>
      </c>
      <c r="AF24" s="68">
        <v>60</v>
      </c>
      <c r="AG24" s="206">
        <v>60</v>
      </c>
    </row>
    <row r="25" spans="1:33" ht="19.5" thickBot="1">
      <c r="A25" s="2"/>
      <c r="B25" s="32" t="s">
        <v>20</v>
      </c>
      <c r="C25" s="193"/>
      <c r="D25" s="34"/>
      <c r="E25" s="73">
        <f>SUM(E16:E24)</f>
        <v>0</v>
      </c>
      <c r="F25" s="73">
        <f aca="true" t="shared" si="14" ref="F25:K25">SUM(F16:F24)</f>
        <v>360</v>
      </c>
      <c r="G25" s="73">
        <f t="shared" si="14"/>
        <v>360</v>
      </c>
      <c r="H25" s="73">
        <f t="shared" si="14"/>
        <v>360</v>
      </c>
      <c r="I25" s="73">
        <f t="shared" si="14"/>
        <v>360</v>
      </c>
      <c r="J25" s="73">
        <f t="shared" si="14"/>
        <v>360</v>
      </c>
      <c r="K25" s="74">
        <f t="shared" si="14"/>
        <v>360</v>
      </c>
      <c r="L25" s="2"/>
      <c r="M25" s="32" t="s">
        <v>20</v>
      </c>
      <c r="N25" s="193"/>
      <c r="O25" s="34"/>
      <c r="P25" s="73">
        <f aca="true" t="shared" si="15" ref="P25:V25">SUM(P16:P24)</f>
        <v>0</v>
      </c>
      <c r="Q25" s="73">
        <f t="shared" si="15"/>
        <v>360</v>
      </c>
      <c r="R25" s="73">
        <f t="shared" si="15"/>
        <v>360</v>
      </c>
      <c r="S25" s="73">
        <f t="shared" si="15"/>
        <v>360</v>
      </c>
      <c r="T25" s="73">
        <f t="shared" si="15"/>
        <v>360</v>
      </c>
      <c r="U25" s="73">
        <f t="shared" si="15"/>
        <v>360</v>
      </c>
      <c r="V25" s="74">
        <f t="shared" si="15"/>
        <v>360</v>
      </c>
      <c r="X25" s="32" t="s">
        <v>20</v>
      </c>
      <c r="Y25" s="193"/>
      <c r="Z25" s="34"/>
      <c r="AA25" s="73">
        <f aca="true" t="shared" si="16" ref="AA25:AG25">SUM(AA16:AA24)</f>
        <v>0</v>
      </c>
      <c r="AB25" s="73">
        <f t="shared" si="16"/>
        <v>360</v>
      </c>
      <c r="AC25" s="73">
        <f t="shared" si="16"/>
        <v>360</v>
      </c>
      <c r="AD25" s="73">
        <f t="shared" si="16"/>
        <v>360</v>
      </c>
      <c r="AE25" s="73">
        <f t="shared" si="16"/>
        <v>360</v>
      </c>
      <c r="AF25" s="73">
        <f t="shared" si="16"/>
        <v>360</v>
      </c>
      <c r="AG25" s="74">
        <f t="shared" si="16"/>
        <v>360</v>
      </c>
    </row>
    <row r="26" spans="1:33" ht="19.5" thickBot="1">
      <c r="A26" s="2"/>
      <c r="B26" s="69" t="s">
        <v>65</v>
      </c>
      <c r="C26" s="207"/>
      <c r="D26" s="71">
        <v>0.075</v>
      </c>
      <c r="E26" s="72">
        <f>+$D$26*SUM(E16:E24)</f>
        <v>0</v>
      </c>
      <c r="F26" s="72">
        <f aca="true" t="shared" si="17" ref="F26:K26">+$D$26*SUM(F16:F24)</f>
        <v>27</v>
      </c>
      <c r="G26" s="72">
        <f t="shared" si="17"/>
        <v>27</v>
      </c>
      <c r="H26" s="72">
        <f t="shared" si="17"/>
        <v>27</v>
      </c>
      <c r="I26" s="72">
        <f t="shared" si="17"/>
        <v>27</v>
      </c>
      <c r="J26" s="72">
        <f t="shared" si="17"/>
        <v>27</v>
      </c>
      <c r="K26" s="75">
        <f t="shared" si="17"/>
        <v>27</v>
      </c>
      <c r="L26" s="2"/>
      <c r="M26" s="69" t="s">
        <v>65</v>
      </c>
      <c r="N26" s="207"/>
      <c r="O26" s="71">
        <v>0.075</v>
      </c>
      <c r="P26" s="72">
        <f>+$D$26*SUM(P16:P24)</f>
        <v>0</v>
      </c>
      <c r="Q26" s="72">
        <f aca="true" t="shared" si="18" ref="Q26:V26">+$O$26*SUM(Q16:Q24)</f>
        <v>27</v>
      </c>
      <c r="R26" s="72">
        <f t="shared" si="18"/>
        <v>27</v>
      </c>
      <c r="S26" s="72">
        <f t="shared" si="18"/>
        <v>27</v>
      </c>
      <c r="T26" s="72">
        <f t="shared" si="18"/>
        <v>27</v>
      </c>
      <c r="U26" s="72">
        <f t="shared" si="18"/>
        <v>27</v>
      </c>
      <c r="V26" s="72">
        <f t="shared" si="18"/>
        <v>27</v>
      </c>
      <c r="X26" s="69" t="s">
        <v>65</v>
      </c>
      <c r="Y26" s="207"/>
      <c r="Z26" s="71">
        <v>0.075</v>
      </c>
      <c r="AA26" s="72">
        <f>+$Z$26*SUM(AA16:AA24)</f>
        <v>0</v>
      </c>
      <c r="AB26" s="72">
        <f aca="true" t="shared" si="19" ref="AB26:AG26">+$Z$26*SUM(AB16:AB24)</f>
        <v>27</v>
      </c>
      <c r="AC26" s="72">
        <f t="shared" si="19"/>
        <v>27</v>
      </c>
      <c r="AD26" s="72">
        <f t="shared" si="19"/>
        <v>27</v>
      </c>
      <c r="AE26" s="72">
        <f t="shared" si="19"/>
        <v>27</v>
      </c>
      <c r="AF26" s="72">
        <f t="shared" si="19"/>
        <v>27</v>
      </c>
      <c r="AG26" s="72">
        <f t="shared" si="19"/>
        <v>27</v>
      </c>
    </row>
    <row r="27" spans="1:33" ht="20.25" thickBot="1">
      <c r="A27" s="2"/>
      <c r="B27" s="54" t="s">
        <v>40</v>
      </c>
      <c r="C27" s="208"/>
      <c r="D27" s="66"/>
      <c r="E27" s="63">
        <f aca="true" t="shared" si="20" ref="E27:J27">SUM(E25:E26)</f>
        <v>0</v>
      </c>
      <c r="F27" s="63">
        <f t="shared" si="20"/>
        <v>387</v>
      </c>
      <c r="G27" s="63">
        <f t="shared" si="20"/>
        <v>387</v>
      </c>
      <c r="H27" s="63">
        <f t="shared" si="20"/>
        <v>387</v>
      </c>
      <c r="I27" s="63">
        <f t="shared" si="20"/>
        <v>387</v>
      </c>
      <c r="J27" s="63">
        <f t="shared" si="20"/>
        <v>387</v>
      </c>
      <c r="K27" s="64">
        <f>SUM(K25)</f>
        <v>360</v>
      </c>
      <c r="L27" s="2"/>
      <c r="M27" s="54" t="s">
        <v>40</v>
      </c>
      <c r="N27" s="208"/>
      <c r="O27" s="66"/>
      <c r="P27" s="63">
        <f aca="true" t="shared" si="21" ref="P27:U27">SUM(P25:P26)</f>
        <v>0</v>
      </c>
      <c r="Q27" s="63">
        <f t="shared" si="21"/>
        <v>387</v>
      </c>
      <c r="R27" s="63">
        <f t="shared" si="21"/>
        <v>387</v>
      </c>
      <c r="S27" s="63">
        <f t="shared" si="21"/>
        <v>387</v>
      </c>
      <c r="T27" s="63">
        <f t="shared" si="21"/>
        <v>387</v>
      </c>
      <c r="U27" s="63">
        <f t="shared" si="21"/>
        <v>387</v>
      </c>
      <c r="V27" s="64">
        <f>SUM(V25)</f>
        <v>360</v>
      </c>
      <c r="X27" s="54" t="s">
        <v>40</v>
      </c>
      <c r="Y27" s="208"/>
      <c r="Z27" s="66"/>
      <c r="AA27" s="63">
        <f aca="true" t="shared" si="22" ref="AA27:AF27">SUM(AA25:AA26)</f>
        <v>0</v>
      </c>
      <c r="AB27" s="63">
        <f t="shared" si="22"/>
        <v>387</v>
      </c>
      <c r="AC27" s="63">
        <f t="shared" si="22"/>
        <v>387</v>
      </c>
      <c r="AD27" s="63">
        <f t="shared" si="22"/>
        <v>387</v>
      </c>
      <c r="AE27" s="63">
        <f t="shared" si="22"/>
        <v>387</v>
      </c>
      <c r="AF27" s="63">
        <f t="shared" si="22"/>
        <v>387</v>
      </c>
      <c r="AG27" s="64">
        <f>SUM(AG25)</f>
        <v>360</v>
      </c>
    </row>
    <row r="28" spans="1:33" ht="19.5" thickBot="1">
      <c r="A28" s="2"/>
      <c r="B28" s="26"/>
      <c r="C28" s="209"/>
      <c r="D28" s="210"/>
      <c r="E28" s="211"/>
      <c r="F28" s="211"/>
      <c r="G28" s="211"/>
      <c r="H28" s="211"/>
      <c r="I28" s="211"/>
      <c r="J28" s="211"/>
      <c r="K28" s="212"/>
      <c r="L28" s="2"/>
      <c r="M28" s="26"/>
      <c r="N28" s="209"/>
      <c r="O28" s="210"/>
      <c r="P28" s="211"/>
      <c r="Q28" s="211"/>
      <c r="R28" s="211"/>
      <c r="S28" s="211"/>
      <c r="T28" s="211"/>
      <c r="U28" s="211"/>
      <c r="V28" s="212"/>
      <c r="X28" s="26"/>
      <c r="Y28" s="209"/>
      <c r="Z28" s="210"/>
      <c r="AA28" s="211"/>
      <c r="AB28" s="211"/>
      <c r="AC28" s="211"/>
      <c r="AD28" s="211"/>
      <c r="AE28" s="211"/>
      <c r="AF28" s="211"/>
      <c r="AG28" s="212"/>
    </row>
    <row r="29" spans="1:33" ht="19.5" thickBot="1">
      <c r="A29" s="2"/>
      <c r="B29" s="26"/>
      <c r="C29" s="88" t="s">
        <v>43</v>
      </c>
      <c r="D29" s="89" t="s">
        <v>44</v>
      </c>
      <c r="E29" s="211"/>
      <c r="F29" s="211"/>
      <c r="G29" s="211"/>
      <c r="H29" s="211"/>
      <c r="I29" s="211"/>
      <c r="J29" s="211"/>
      <c r="K29" s="212"/>
      <c r="L29" s="2"/>
      <c r="M29" s="26"/>
      <c r="N29" s="88" t="s">
        <v>43</v>
      </c>
      <c r="O29" s="89" t="s">
        <v>44</v>
      </c>
      <c r="P29" s="211"/>
      <c r="Q29" s="211"/>
      <c r="R29" s="211"/>
      <c r="S29" s="211"/>
      <c r="T29" s="211"/>
      <c r="U29" s="211"/>
      <c r="V29" s="212"/>
      <c r="X29" s="26"/>
      <c r="Y29" s="88" t="s">
        <v>43</v>
      </c>
      <c r="Z29" s="89" t="s">
        <v>44</v>
      </c>
      <c r="AA29" s="211"/>
      <c r="AB29" s="211"/>
      <c r="AC29" s="211"/>
      <c r="AD29" s="211"/>
      <c r="AE29" s="211"/>
      <c r="AF29" s="211"/>
      <c r="AG29" s="212"/>
    </row>
    <row r="30" spans="1:33" ht="18.75">
      <c r="A30" s="2"/>
      <c r="B30" s="25" t="s">
        <v>67</v>
      </c>
      <c r="C30" s="213">
        <v>16</v>
      </c>
      <c r="D30" s="87">
        <v>20</v>
      </c>
      <c r="E30" s="82">
        <f>+$C$30*$D$30</f>
        <v>320</v>
      </c>
      <c r="F30" s="82">
        <f aca="true" t="shared" si="23" ref="F30:K30">+$C$30*$D$30</f>
        <v>320</v>
      </c>
      <c r="G30" s="82">
        <f t="shared" si="23"/>
        <v>320</v>
      </c>
      <c r="H30" s="82">
        <f t="shared" si="23"/>
        <v>320</v>
      </c>
      <c r="I30" s="82">
        <f t="shared" si="23"/>
        <v>320</v>
      </c>
      <c r="J30" s="82">
        <f t="shared" si="23"/>
        <v>320</v>
      </c>
      <c r="K30" s="214">
        <f t="shared" si="23"/>
        <v>320</v>
      </c>
      <c r="L30" s="2"/>
      <c r="M30" s="25" t="s">
        <v>67</v>
      </c>
      <c r="N30" s="213">
        <v>16</v>
      </c>
      <c r="O30" s="87">
        <v>20</v>
      </c>
      <c r="P30" s="82">
        <f>+$C$30*$D$30</f>
        <v>320</v>
      </c>
      <c r="Q30" s="82">
        <f aca="true" t="shared" si="24" ref="Q30:V30">+$N$30*$O$30</f>
        <v>320</v>
      </c>
      <c r="R30" s="82">
        <f t="shared" si="24"/>
        <v>320</v>
      </c>
      <c r="S30" s="82">
        <f t="shared" si="24"/>
        <v>320</v>
      </c>
      <c r="T30" s="82">
        <f t="shared" si="24"/>
        <v>320</v>
      </c>
      <c r="U30" s="82">
        <f t="shared" si="24"/>
        <v>320</v>
      </c>
      <c r="V30" s="82">
        <f t="shared" si="24"/>
        <v>320</v>
      </c>
      <c r="X30" s="25" t="s">
        <v>67</v>
      </c>
      <c r="Y30" s="213">
        <v>16</v>
      </c>
      <c r="Z30" s="87">
        <v>20</v>
      </c>
      <c r="AA30" s="82">
        <f>+$C$30*$D$30</f>
        <v>320</v>
      </c>
      <c r="AB30" s="82">
        <f aca="true" t="shared" si="25" ref="AB30:AG30">+$C$30*$D$30</f>
        <v>320</v>
      </c>
      <c r="AC30" s="82">
        <f t="shared" si="25"/>
        <v>320</v>
      </c>
      <c r="AD30" s="82">
        <f t="shared" si="25"/>
        <v>320</v>
      </c>
      <c r="AE30" s="82">
        <f t="shared" si="25"/>
        <v>320</v>
      </c>
      <c r="AF30" s="82">
        <f t="shared" si="25"/>
        <v>320</v>
      </c>
      <c r="AG30" s="214">
        <f t="shared" si="25"/>
        <v>320</v>
      </c>
    </row>
    <row r="31" spans="1:33" ht="18.75">
      <c r="A31" s="2"/>
      <c r="B31" s="21" t="s">
        <v>45</v>
      </c>
      <c r="C31" s="215">
        <v>0</v>
      </c>
      <c r="D31" s="85">
        <f>+D30*1.5</f>
        <v>30</v>
      </c>
      <c r="E31" s="82">
        <f>+$C$31*$D$31</f>
        <v>0</v>
      </c>
      <c r="F31" s="82">
        <f aca="true" t="shared" si="26" ref="F31:K31">+$C$31*$D$31</f>
        <v>0</v>
      </c>
      <c r="G31" s="82">
        <f t="shared" si="26"/>
        <v>0</v>
      </c>
      <c r="H31" s="82">
        <f t="shared" si="26"/>
        <v>0</v>
      </c>
      <c r="I31" s="82">
        <f t="shared" si="26"/>
        <v>0</v>
      </c>
      <c r="J31" s="82">
        <f t="shared" si="26"/>
        <v>0</v>
      </c>
      <c r="K31" s="214">
        <f t="shared" si="26"/>
        <v>0</v>
      </c>
      <c r="L31" s="2"/>
      <c r="M31" s="21" t="s">
        <v>45</v>
      </c>
      <c r="N31" s="215">
        <v>0</v>
      </c>
      <c r="O31" s="85">
        <f>+O30*1.5</f>
        <v>30</v>
      </c>
      <c r="P31" s="82">
        <f>+$C$31*$D$31</f>
        <v>0</v>
      </c>
      <c r="Q31" s="82">
        <f aca="true" t="shared" si="27" ref="Q31:V31">+$N$31*$O$31</f>
        <v>0</v>
      </c>
      <c r="R31" s="82">
        <f t="shared" si="27"/>
        <v>0</v>
      </c>
      <c r="S31" s="82">
        <f t="shared" si="27"/>
        <v>0</v>
      </c>
      <c r="T31" s="82">
        <f t="shared" si="27"/>
        <v>0</v>
      </c>
      <c r="U31" s="82">
        <f t="shared" si="27"/>
        <v>0</v>
      </c>
      <c r="V31" s="82">
        <f t="shared" si="27"/>
        <v>0</v>
      </c>
      <c r="X31" s="21" t="s">
        <v>45</v>
      </c>
      <c r="Y31" s="215">
        <v>0</v>
      </c>
      <c r="Z31" s="85">
        <f>+Z30*1.5</f>
        <v>30</v>
      </c>
      <c r="AA31" s="82">
        <f>+$C$31*$D$31</f>
        <v>0</v>
      </c>
      <c r="AB31" s="82">
        <f aca="true" t="shared" si="28" ref="AB31:AG31">+$C$31*$D$31</f>
        <v>0</v>
      </c>
      <c r="AC31" s="82">
        <f t="shared" si="28"/>
        <v>0</v>
      </c>
      <c r="AD31" s="82">
        <f t="shared" si="28"/>
        <v>0</v>
      </c>
      <c r="AE31" s="82">
        <f t="shared" si="28"/>
        <v>0</v>
      </c>
      <c r="AF31" s="82">
        <f t="shared" si="28"/>
        <v>0</v>
      </c>
      <c r="AG31" s="214">
        <f t="shared" si="28"/>
        <v>0</v>
      </c>
    </row>
    <row r="32" spans="1:33" ht="18.75">
      <c r="A32" s="2"/>
      <c r="B32" s="21" t="s">
        <v>47</v>
      </c>
      <c r="C32" s="215">
        <v>1</v>
      </c>
      <c r="D32" s="84">
        <v>20</v>
      </c>
      <c r="E32" s="82">
        <f>+$C$32*$D$32</f>
        <v>20</v>
      </c>
      <c r="F32" s="82">
        <f aca="true" t="shared" si="29" ref="F32:K32">+$C$32*$D$32</f>
        <v>20</v>
      </c>
      <c r="G32" s="82">
        <f t="shared" si="29"/>
        <v>20</v>
      </c>
      <c r="H32" s="82">
        <f t="shared" si="29"/>
        <v>20</v>
      </c>
      <c r="I32" s="82">
        <f t="shared" si="29"/>
        <v>20</v>
      </c>
      <c r="J32" s="82">
        <f t="shared" si="29"/>
        <v>20</v>
      </c>
      <c r="K32" s="214">
        <f t="shared" si="29"/>
        <v>20</v>
      </c>
      <c r="L32" s="2"/>
      <c r="M32" s="21" t="s">
        <v>47</v>
      </c>
      <c r="N32" s="215">
        <v>1</v>
      </c>
      <c r="O32" s="84">
        <v>20</v>
      </c>
      <c r="P32" s="82">
        <f>+$C$32*$D$32</f>
        <v>20</v>
      </c>
      <c r="Q32" s="82">
        <f aca="true" t="shared" si="30" ref="Q32:V32">+$N$32*$O$32</f>
        <v>20</v>
      </c>
      <c r="R32" s="82">
        <f t="shared" si="30"/>
        <v>20</v>
      </c>
      <c r="S32" s="82">
        <f t="shared" si="30"/>
        <v>20</v>
      </c>
      <c r="T32" s="82">
        <f t="shared" si="30"/>
        <v>20</v>
      </c>
      <c r="U32" s="82">
        <f t="shared" si="30"/>
        <v>20</v>
      </c>
      <c r="V32" s="82">
        <f t="shared" si="30"/>
        <v>20</v>
      </c>
      <c r="X32" s="21" t="s">
        <v>47</v>
      </c>
      <c r="Y32" s="215">
        <v>1</v>
      </c>
      <c r="Z32" s="84">
        <v>20</v>
      </c>
      <c r="AA32" s="82">
        <f>+$C$32*$D$32</f>
        <v>20</v>
      </c>
      <c r="AB32" s="82">
        <f aca="true" t="shared" si="31" ref="AB32:AG32">+$C$32*$D$32</f>
        <v>20</v>
      </c>
      <c r="AC32" s="82">
        <f t="shared" si="31"/>
        <v>20</v>
      </c>
      <c r="AD32" s="82">
        <f t="shared" si="31"/>
        <v>20</v>
      </c>
      <c r="AE32" s="82">
        <f t="shared" si="31"/>
        <v>20</v>
      </c>
      <c r="AF32" s="82">
        <f t="shared" si="31"/>
        <v>20</v>
      </c>
      <c r="AG32" s="214">
        <f t="shared" si="31"/>
        <v>20</v>
      </c>
    </row>
    <row r="33" spans="1:33" ht="18.75">
      <c r="A33" s="2"/>
      <c r="B33" s="21" t="s">
        <v>46</v>
      </c>
      <c r="C33" s="215">
        <v>0</v>
      </c>
      <c r="D33" s="84">
        <v>20</v>
      </c>
      <c r="E33" s="82">
        <f>+$C$33*$D$33</f>
        <v>0</v>
      </c>
      <c r="F33" s="82">
        <f aca="true" t="shared" si="32" ref="F33:K33">+$C$33*$D$33</f>
        <v>0</v>
      </c>
      <c r="G33" s="82">
        <f t="shared" si="32"/>
        <v>0</v>
      </c>
      <c r="H33" s="82">
        <f t="shared" si="32"/>
        <v>0</v>
      </c>
      <c r="I33" s="82">
        <f t="shared" si="32"/>
        <v>0</v>
      </c>
      <c r="J33" s="82">
        <f t="shared" si="32"/>
        <v>0</v>
      </c>
      <c r="K33" s="214">
        <f t="shared" si="32"/>
        <v>0</v>
      </c>
      <c r="L33" s="2"/>
      <c r="M33" s="21" t="s">
        <v>46</v>
      </c>
      <c r="N33" s="215">
        <v>0</v>
      </c>
      <c r="O33" s="84">
        <v>20</v>
      </c>
      <c r="P33" s="82">
        <f>+$C$33*$D$33</f>
        <v>0</v>
      </c>
      <c r="Q33" s="82">
        <f aca="true" t="shared" si="33" ref="Q33:V33">+$N$33*$O$33</f>
        <v>0</v>
      </c>
      <c r="R33" s="82">
        <f t="shared" si="33"/>
        <v>0</v>
      </c>
      <c r="S33" s="82">
        <f t="shared" si="33"/>
        <v>0</v>
      </c>
      <c r="T33" s="82">
        <f t="shared" si="33"/>
        <v>0</v>
      </c>
      <c r="U33" s="82">
        <f t="shared" si="33"/>
        <v>0</v>
      </c>
      <c r="V33" s="82">
        <f t="shared" si="33"/>
        <v>0</v>
      </c>
      <c r="X33" s="21" t="s">
        <v>46</v>
      </c>
      <c r="Y33" s="215">
        <v>0</v>
      </c>
      <c r="Z33" s="84">
        <v>20</v>
      </c>
      <c r="AA33" s="82">
        <f>+$C$33*$D$33</f>
        <v>0</v>
      </c>
      <c r="AB33" s="82">
        <f aca="true" t="shared" si="34" ref="AB33:AG33">+$C$33*$D$33</f>
        <v>0</v>
      </c>
      <c r="AC33" s="82">
        <f t="shared" si="34"/>
        <v>0</v>
      </c>
      <c r="AD33" s="82">
        <f t="shared" si="34"/>
        <v>0</v>
      </c>
      <c r="AE33" s="82">
        <f t="shared" si="34"/>
        <v>0</v>
      </c>
      <c r="AF33" s="82">
        <f t="shared" si="34"/>
        <v>0</v>
      </c>
      <c r="AG33" s="214">
        <f t="shared" si="34"/>
        <v>0</v>
      </c>
    </row>
    <row r="34" spans="1:33" ht="18.75">
      <c r="A34" s="2"/>
      <c r="B34" s="21" t="s">
        <v>48</v>
      </c>
      <c r="C34" s="189"/>
      <c r="D34" s="11"/>
      <c r="E34" s="62">
        <f>SUM(E30:E33)</f>
        <v>340</v>
      </c>
      <c r="F34" s="62">
        <f aca="true" t="shared" si="35" ref="F34:K34">SUM(F30:F33)</f>
        <v>340</v>
      </c>
      <c r="G34" s="62">
        <f t="shared" si="35"/>
        <v>340</v>
      </c>
      <c r="H34" s="62">
        <f t="shared" si="35"/>
        <v>340</v>
      </c>
      <c r="I34" s="62">
        <f t="shared" si="35"/>
        <v>340</v>
      </c>
      <c r="J34" s="62">
        <f t="shared" si="35"/>
        <v>340</v>
      </c>
      <c r="K34" s="216">
        <f t="shared" si="35"/>
        <v>340</v>
      </c>
      <c r="L34" s="2"/>
      <c r="M34" s="21" t="s">
        <v>48</v>
      </c>
      <c r="N34" s="189"/>
      <c r="O34" s="11"/>
      <c r="P34" s="62">
        <f aca="true" t="shared" si="36" ref="P34:V34">SUM(P30:P33)</f>
        <v>340</v>
      </c>
      <c r="Q34" s="62">
        <f t="shared" si="36"/>
        <v>340</v>
      </c>
      <c r="R34" s="62">
        <f t="shared" si="36"/>
        <v>340</v>
      </c>
      <c r="S34" s="62">
        <f t="shared" si="36"/>
        <v>340</v>
      </c>
      <c r="T34" s="62">
        <f t="shared" si="36"/>
        <v>340</v>
      </c>
      <c r="U34" s="62">
        <f t="shared" si="36"/>
        <v>340</v>
      </c>
      <c r="V34" s="216">
        <f t="shared" si="36"/>
        <v>340</v>
      </c>
      <c r="X34" s="21" t="s">
        <v>48</v>
      </c>
      <c r="Y34" s="189"/>
      <c r="Z34" s="11"/>
      <c r="AA34" s="62">
        <f aca="true" t="shared" si="37" ref="AA34:AG34">SUM(AA30:AA33)</f>
        <v>340</v>
      </c>
      <c r="AB34" s="62">
        <f t="shared" si="37"/>
        <v>340</v>
      </c>
      <c r="AC34" s="62">
        <f t="shared" si="37"/>
        <v>340</v>
      </c>
      <c r="AD34" s="62">
        <f t="shared" si="37"/>
        <v>340</v>
      </c>
      <c r="AE34" s="62">
        <f t="shared" si="37"/>
        <v>340</v>
      </c>
      <c r="AF34" s="62">
        <f t="shared" si="37"/>
        <v>340</v>
      </c>
      <c r="AG34" s="216">
        <f t="shared" si="37"/>
        <v>340</v>
      </c>
    </row>
    <row r="35" spans="1:33" ht="19.5" thickBot="1">
      <c r="A35" s="2"/>
      <c r="B35" s="23" t="s">
        <v>26</v>
      </c>
      <c r="C35" s="217"/>
      <c r="D35" s="218"/>
      <c r="E35" s="219">
        <f aca="true" t="shared" si="38" ref="E35:K35">E34*0.24</f>
        <v>81.6</v>
      </c>
      <c r="F35" s="219">
        <f t="shared" si="38"/>
        <v>81.6</v>
      </c>
      <c r="G35" s="219">
        <f t="shared" si="38"/>
        <v>81.6</v>
      </c>
      <c r="H35" s="219">
        <f t="shared" si="38"/>
        <v>81.6</v>
      </c>
      <c r="I35" s="219">
        <f t="shared" si="38"/>
        <v>81.6</v>
      </c>
      <c r="J35" s="219">
        <f t="shared" si="38"/>
        <v>81.6</v>
      </c>
      <c r="K35" s="220">
        <f t="shared" si="38"/>
        <v>81.6</v>
      </c>
      <c r="L35" s="2"/>
      <c r="M35" s="23" t="s">
        <v>26</v>
      </c>
      <c r="N35" s="217"/>
      <c r="O35" s="218"/>
      <c r="P35" s="219">
        <f aca="true" t="shared" si="39" ref="P35:V35">P34*0.24</f>
        <v>81.6</v>
      </c>
      <c r="Q35" s="219">
        <f t="shared" si="39"/>
        <v>81.6</v>
      </c>
      <c r="R35" s="219">
        <f t="shared" si="39"/>
        <v>81.6</v>
      </c>
      <c r="S35" s="219">
        <f t="shared" si="39"/>
        <v>81.6</v>
      </c>
      <c r="T35" s="219">
        <f t="shared" si="39"/>
        <v>81.6</v>
      </c>
      <c r="U35" s="219">
        <f t="shared" si="39"/>
        <v>81.6</v>
      </c>
      <c r="V35" s="220">
        <f t="shared" si="39"/>
        <v>81.6</v>
      </c>
      <c r="X35" s="23" t="s">
        <v>26</v>
      </c>
      <c r="Y35" s="217"/>
      <c r="Z35" s="218"/>
      <c r="AA35" s="219">
        <f aca="true" t="shared" si="40" ref="AA35:AG35">AA34*0.24</f>
        <v>81.6</v>
      </c>
      <c r="AB35" s="219">
        <f t="shared" si="40"/>
        <v>81.6</v>
      </c>
      <c r="AC35" s="219">
        <f t="shared" si="40"/>
        <v>81.6</v>
      </c>
      <c r="AD35" s="219">
        <f t="shared" si="40"/>
        <v>81.6</v>
      </c>
      <c r="AE35" s="219">
        <f t="shared" si="40"/>
        <v>81.6</v>
      </c>
      <c r="AF35" s="219">
        <f t="shared" si="40"/>
        <v>81.6</v>
      </c>
      <c r="AG35" s="220">
        <f t="shared" si="40"/>
        <v>81.6</v>
      </c>
    </row>
    <row r="36" spans="1:33" ht="19.5" thickBot="1">
      <c r="A36" s="2"/>
      <c r="B36" s="24"/>
      <c r="C36" s="3"/>
      <c r="D36" s="12"/>
      <c r="E36" s="14"/>
      <c r="F36" s="14"/>
      <c r="G36" s="14"/>
      <c r="H36" s="14"/>
      <c r="I36" s="14"/>
      <c r="J36" s="14"/>
      <c r="K36" s="14"/>
      <c r="L36" s="2"/>
      <c r="M36" s="24"/>
      <c r="N36" s="3"/>
      <c r="O36" s="12"/>
      <c r="P36" s="14"/>
      <c r="Q36" s="14"/>
      <c r="R36" s="14"/>
      <c r="S36" s="14"/>
      <c r="T36" s="14"/>
      <c r="U36" s="14"/>
      <c r="V36" s="14"/>
      <c r="X36" s="24"/>
      <c r="Y36" s="3"/>
      <c r="Z36" s="12"/>
      <c r="AA36" s="14"/>
      <c r="AB36" s="14"/>
      <c r="AC36" s="14"/>
      <c r="AD36" s="14"/>
      <c r="AE36" s="14"/>
      <c r="AF36" s="14"/>
      <c r="AG36" s="14"/>
    </row>
    <row r="37" spans="1:33" ht="18.75">
      <c r="A37" s="2"/>
      <c r="B37" s="25" t="s">
        <v>35</v>
      </c>
      <c r="C37" s="8"/>
      <c r="D37" s="11"/>
      <c r="E37" s="90">
        <v>50</v>
      </c>
      <c r="F37" s="90">
        <v>50</v>
      </c>
      <c r="G37" s="90">
        <v>50</v>
      </c>
      <c r="H37" s="90">
        <v>50</v>
      </c>
      <c r="I37" s="90">
        <v>50</v>
      </c>
      <c r="J37" s="90">
        <v>50</v>
      </c>
      <c r="K37" s="90">
        <v>50</v>
      </c>
      <c r="L37" s="2"/>
      <c r="M37" s="25" t="s">
        <v>35</v>
      </c>
      <c r="N37" s="8"/>
      <c r="O37" s="11"/>
      <c r="P37" s="90">
        <v>50</v>
      </c>
      <c r="Q37" s="90">
        <v>50</v>
      </c>
      <c r="R37" s="90">
        <v>50</v>
      </c>
      <c r="S37" s="90">
        <v>50</v>
      </c>
      <c r="T37" s="90">
        <v>50</v>
      </c>
      <c r="U37" s="90">
        <v>50</v>
      </c>
      <c r="V37" s="90">
        <v>50</v>
      </c>
      <c r="X37" s="25" t="s">
        <v>35</v>
      </c>
      <c r="Y37" s="8"/>
      <c r="Z37" s="11"/>
      <c r="AA37" s="90">
        <v>50</v>
      </c>
      <c r="AB37" s="90">
        <v>50</v>
      </c>
      <c r="AC37" s="90">
        <v>50</v>
      </c>
      <c r="AD37" s="90">
        <v>50</v>
      </c>
      <c r="AE37" s="90">
        <v>50</v>
      </c>
      <c r="AF37" s="90">
        <v>50</v>
      </c>
      <c r="AG37" s="90">
        <v>50</v>
      </c>
    </row>
    <row r="38" spans="1:33" ht="18.75">
      <c r="A38" s="2"/>
      <c r="B38" s="21" t="s">
        <v>25</v>
      </c>
      <c r="C38" s="17"/>
      <c r="D38" s="11"/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2"/>
      <c r="M38" s="21" t="s">
        <v>25</v>
      </c>
      <c r="N38" s="17"/>
      <c r="O38" s="11"/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X38" s="21" t="s">
        <v>25</v>
      </c>
      <c r="Y38" s="17"/>
      <c r="Z38" s="11"/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</row>
    <row r="39" spans="1:33" ht="18.75">
      <c r="A39" s="2"/>
      <c r="B39" s="21" t="s">
        <v>95</v>
      </c>
      <c r="C39" s="8"/>
      <c r="D39" s="11"/>
      <c r="E39" s="90">
        <v>0</v>
      </c>
      <c r="F39" s="90">
        <v>40</v>
      </c>
      <c r="G39" s="90">
        <v>50</v>
      </c>
      <c r="H39" s="90">
        <v>50</v>
      </c>
      <c r="I39" s="90">
        <v>60</v>
      </c>
      <c r="J39" s="90">
        <v>60</v>
      </c>
      <c r="K39" s="90">
        <v>60</v>
      </c>
      <c r="L39" s="2"/>
      <c r="M39" s="21" t="s">
        <v>95</v>
      </c>
      <c r="N39" s="8"/>
      <c r="O39" s="11"/>
      <c r="P39" s="90">
        <v>0</v>
      </c>
      <c r="Q39" s="90">
        <v>40</v>
      </c>
      <c r="R39" s="90">
        <v>50</v>
      </c>
      <c r="S39" s="90">
        <v>50</v>
      </c>
      <c r="T39" s="90">
        <v>60</v>
      </c>
      <c r="U39" s="90">
        <v>60</v>
      </c>
      <c r="V39" s="90">
        <v>60</v>
      </c>
      <c r="X39" s="21" t="s">
        <v>95</v>
      </c>
      <c r="Y39" s="8"/>
      <c r="Z39" s="11"/>
      <c r="AA39" s="90">
        <v>0</v>
      </c>
      <c r="AB39" s="90">
        <v>40</v>
      </c>
      <c r="AC39" s="90">
        <v>50</v>
      </c>
      <c r="AD39" s="90">
        <v>50</v>
      </c>
      <c r="AE39" s="90">
        <v>60</v>
      </c>
      <c r="AF39" s="90">
        <v>60</v>
      </c>
      <c r="AG39" s="90">
        <v>60</v>
      </c>
    </row>
    <row r="40" spans="1:33" ht="18.75">
      <c r="A40" s="2"/>
      <c r="B40" s="21" t="s">
        <v>15</v>
      </c>
      <c r="C40" s="8"/>
      <c r="D40" s="11"/>
      <c r="E40" s="90">
        <v>75</v>
      </c>
      <c r="F40" s="90">
        <v>75</v>
      </c>
      <c r="G40" s="90">
        <v>75</v>
      </c>
      <c r="H40" s="90">
        <v>75</v>
      </c>
      <c r="I40" s="90">
        <v>75</v>
      </c>
      <c r="J40" s="90">
        <v>75</v>
      </c>
      <c r="K40" s="90">
        <v>75</v>
      </c>
      <c r="L40" s="2"/>
      <c r="M40" s="21" t="s">
        <v>15</v>
      </c>
      <c r="N40" s="8"/>
      <c r="O40" s="11"/>
      <c r="P40" s="90">
        <v>75</v>
      </c>
      <c r="Q40" s="90">
        <v>75</v>
      </c>
      <c r="R40" s="90">
        <v>75</v>
      </c>
      <c r="S40" s="90">
        <v>75</v>
      </c>
      <c r="T40" s="90">
        <v>75</v>
      </c>
      <c r="U40" s="90">
        <v>75</v>
      </c>
      <c r="V40" s="90">
        <v>75</v>
      </c>
      <c r="X40" s="21" t="s">
        <v>15</v>
      </c>
      <c r="Y40" s="8"/>
      <c r="Z40" s="11"/>
      <c r="AA40" s="90">
        <v>75</v>
      </c>
      <c r="AB40" s="90">
        <v>75</v>
      </c>
      <c r="AC40" s="90">
        <v>75</v>
      </c>
      <c r="AD40" s="90">
        <v>75</v>
      </c>
      <c r="AE40" s="90">
        <v>75</v>
      </c>
      <c r="AF40" s="90">
        <v>75</v>
      </c>
      <c r="AG40" s="90">
        <v>75</v>
      </c>
    </row>
    <row r="41" spans="1:33" ht="18.75">
      <c r="A41" s="2"/>
      <c r="B41" s="27"/>
      <c r="C41" s="3"/>
      <c r="D41" s="3"/>
      <c r="E41" s="4"/>
      <c r="F41" s="4"/>
      <c r="G41" s="4"/>
      <c r="H41" s="4"/>
      <c r="I41" s="4"/>
      <c r="J41" s="4"/>
      <c r="K41" s="4"/>
      <c r="L41" s="2"/>
      <c r="M41" s="27"/>
      <c r="N41" s="3"/>
      <c r="O41" s="3"/>
      <c r="P41" s="4"/>
      <c r="Q41" s="4"/>
      <c r="R41" s="4"/>
      <c r="S41" s="4"/>
      <c r="T41" s="4"/>
      <c r="U41" s="4"/>
      <c r="V41" s="4"/>
      <c r="X41" s="27"/>
      <c r="Y41" s="3"/>
      <c r="Z41" s="3"/>
      <c r="AA41" s="4"/>
      <c r="AB41" s="4"/>
      <c r="AC41" s="4"/>
      <c r="AD41" s="4"/>
      <c r="AE41" s="4"/>
      <c r="AF41" s="4"/>
      <c r="AG41" s="4"/>
    </row>
    <row r="42" spans="1:33" ht="18.75">
      <c r="A42" s="2"/>
      <c r="B42" s="22" t="s">
        <v>68</v>
      </c>
      <c r="C42" s="9"/>
      <c r="D42" s="91">
        <v>0.3</v>
      </c>
      <c r="E42" s="4"/>
      <c r="F42" s="4"/>
      <c r="G42" s="4"/>
      <c r="H42" s="4"/>
      <c r="I42" s="4"/>
      <c r="J42" s="4"/>
      <c r="K42" s="4"/>
      <c r="L42" s="2"/>
      <c r="M42" s="22" t="s">
        <v>68</v>
      </c>
      <c r="N42" s="9"/>
      <c r="O42" s="91">
        <v>0.3</v>
      </c>
      <c r="P42" s="4"/>
      <c r="Q42" s="4"/>
      <c r="R42" s="4"/>
      <c r="S42" s="4"/>
      <c r="T42" s="4"/>
      <c r="U42" s="4"/>
      <c r="V42" s="4"/>
      <c r="X42" s="22" t="s">
        <v>68</v>
      </c>
      <c r="Y42" s="9"/>
      <c r="Z42" s="91">
        <v>0.3</v>
      </c>
      <c r="AA42" s="4"/>
      <c r="AB42" s="4"/>
      <c r="AC42" s="4"/>
      <c r="AD42" s="4"/>
      <c r="AE42" s="4"/>
      <c r="AF42" s="4"/>
      <c r="AG42" s="4"/>
    </row>
    <row r="43" spans="1:33" ht="18.75">
      <c r="A43" s="2"/>
      <c r="B43" s="22" t="s">
        <v>37</v>
      </c>
      <c r="C43" s="9"/>
      <c r="D43" s="91">
        <v>0.03</v>
      </c>
      <c r="E43" s="4"/>
      <c r="F43" s="4"/>
      <c r="G43" s="4"/>
      <c r="H43" s="4"/>
      <c r="I43" s="4"/>
      <c r="J43" s="4"/>
      <c r="K43" s="4"/>
      <c r="L43" s="2"/>
      <c r="M43" s="22" t="s">
        <v>37</v>
      </c>
      <c r="N43" s="9"/>
      <c r="O43" s="91">
        <v>0.05</v>
      </c>
      <c r="P43" s="4"/>
      <c r="Q43" s="4"/>
      <c r="R43" s="4"/>
      <c r="S43" s="4"/>
      <c r="T43" s="4"/>
      <c r="U43" s="4"/>
      <c r="V43" s="4"/>
      <c r="X43" s="22" t="s">
        <v>37</v>
      </c>
      <c r="Y43" s="9"/>
      <c r="Z43" s="91">
        <v>0.05</v>
      </c>
      <c r="AA43" s="4"/>
      <c r="AB43" s="4"/>
      <c r="AC43" s="4"/>
      <c r="AD43" s="4"/>
      <c r="AE43" s="4"/>
      <c r="AF43" s="4"/>
      <c r="AG43" s="4"/>
    </row>
    <row r="44" spans="1:33" ht="19.5" thickBot="1">
      <c r="A44" s="2"/>
      <c r="B44" s="28" t="s">
        <v>30</v>
      </c>
      <c r="C44" s="9"/>
      <c r="D44" s="91">
        <v>0.15</v>
      </c>
      <c r="E44" s="4"/>
      <c r="F44" s="4"/>
      <c r="G44" s="4"/>
      <c r="H44" s="4"/>
      <c r="I44" s="4"/>
      <c r="J44" s="4"/>
      <c r="K44" s="4"/>
      <c r="L44" s="2"/>
      <c r="M44" s="28" t="s">
        <v>30</v>
      </c>
      <c r="N44" s="9"/>
      <c r="O44" s="91">
        <v>0.15</v>
      </c>
      <c r="P44" s="4"/>
      <c r="Q44" s="4"/>
      <c r="R44" s="4"/>
      <c r="S44" s="4"/>
      <c r="T44" s="4"/>
      <c r="U44" s="4"/>
      <c r="V44" s="4"/>
      <c r="X44" s="28" t="s">
        <v>30</v>
      </c>
      <c r="Y44" s="9"/>
      <c r="Z44" s="91">
        <v>0.15</v>
      </c>
      <c r="AA44" s="4"/>
      <c r="AB44" s="4"/>
      <c r="AC44" s="4"/>
      <c r="AD44" s="4"/>
      <c r="AE44" s="4"/>
      <c r="AF44" s="4"/>
      <c r="AG44" s="4"/>
    </row>
    <row r="45" spans="1:33" ht="19.5" thickBot="1">
      <c r="A45" s="2"/>
      <c r="B45" s="24"/>
      <c r="C45" s="3"/>
      <c r="D45" s="3"/>
      <c r="E45" s="4"/>
      <c r="F45" s="4"/>
      <c r="G45" s="4"/>
      <c r="H45" s="4"/>
      <c r="I45" s="4"/>
      <c r="J45" s="4"/>
      <c r="K45" s="4"/>
      <c r="L45" s="2"/>
      <c r="M45" s="24"/>
      <c r="N45" s="3"/>
      <c r="O45" s="3"/>
      <c r="P45" s="4"/>
      <c r="Q45" s="4"/>
      <c r="R45" s="4"/>
      <c r="S45" s="4"/>
      <c r="T45" s="4"/>
      <c r="U45" s="4"/>
      <c r="V45" s="4"/>
      <c r="X45" s="24"/>
      <c r="Y45" s="3"/>
      <c r="Z45" s="3"/>
      <c r="AA45" s="4"/>
      <c r="AB45" s="4"/>
      <c r="AC45" s="4"/>
      <c r="AD45" s="4"/>
      <c r="AE45" s="4"/>
      <c r="AF45" s="4"/>
      <c r="AG45" s="4"/>
    </row>
    <row r="46" spans="1:33" ht="19.5" thickBot="1">
      <c r="A46" s="2"/>
      <c r="B46" s="54" t="s">
        <v>70</v>
      </c>
      <c r="C46" s="99"/>
      <c r="D46" s="100"/>
      <c r="E46" s="97">
        <f aca="true" t="shared" si="41" ref="E46:K46">SUM(E37+E34+E27+E14+E35+E39+E38+E40)</f>
        <v>546.6</v>
      </c>
      <c r="F46" s="97">
        <f t="shared" si="41"/>
        <v>2677.475</v>
      </c>
      <c r="G46" s="97">
        <f t="shared" si="41"/>
        <v>2789.6</v>
      </c>
      <c r="H46" s="97">
        <f t="shared" si="41"/>
        <v>2811.1</v>
      </c>
      <c r="I46" s="97">
        <f t="shared" si="41"/>
        <v>3009.225</v>
      </c>
      <c r="J46" s="97">
        <f t="shared" si="41"/>
        <v>3111.35</v>
      </c>
      <c r="K46" s="98">
        <f t="shared" si="41"/>
        <v>3396.1</v>
      </c>
      <c r="L46" s="2"/>
      <c r="M46" s="54" t="s">
        <v>70</v>
      </c>
      <c r="N46" s="99"/>
      <c r="O46" s="100"/>
      <c r="P46" s="97">
        <f aca="true" t="shared" si="42" ref="P46:V46">SUM(P37+P34+P27+P14+P35+P39+P38+P40)</f>
        <v>546.6</v>
      </c>
      <c r="Q46" s="97">
        <f>SUM(Q37+Q34+Q27+Q14+Q35+Q39+Q38+Q40)</f>
        <v>2158.25</v>
      </c>
      <c r="R46" s="97">
        <f t="shared" si="42"/>
        <v>2190.825</v>
      </c>
      <c r="S46" s="97">
        <f t="shared" si="42"/>
        <v>1107.225</v>
      </c>
      <c r="T46" s="97">
        <f t="shared" si="42"/>
        <v>1117.225</v>
      </c>
      <c r="U46" s="97">
        <f t="shared" si="42"/>
        <v>1117.225</v>
      </c>
      <c r="V46" s="98">
        <f t="shared" si="42"/>
        <v>1090.225</v>
      </c>
      <c r="X46" s="54" t="s">
        <v>70</v>
      </c>
      <c r="Y46" s="99"/>
      <c r="Z46" s="100"/>
      <c r="AA46" s="97">
        <f aca="true" t="shared" si="43" ref="AA46:AG46">SUM(AA37+AA34+AA27+AA14+AA35+AA39+AA38+AA40)</f>
        <v>670.225</v>
      </c>
      <c r="AB46" s="97">
        <f t="shared" si="43"/>
        <v>2477.525</v>
      </c>
      <c r="AC46" s="97">
        <f t="shared" si="43"/>
        <v>2518.7</v>
      </c>
      <c r="AD46" s="97">
        <f t="shared" si="43"/>
        <v>2583.2</v>
      </c>
      <c r="AE46" s="97">
        <f t="shared" si="43"/>
        <v>2806.0499999999997</v>
      </c>
      <c r="AF46" s="97">
        <f t="shared" si="43"/>
        <v>2870.5499999999997</v>
      </c>
      <c r="AG46" s="98">
        <f t="shared" si="43"/>
        <v>3116.6</v>
      </c>
    </row>
    <row r="47" spans="1:33" ht="19.5" thickBot="1">
      <c r="A47" s="2"/>
      <c r="B47" s="93" t="s">
        <v>69</v>
      </c>
      <c r="C47" s="19"/>
      <c r="D47" s="94"/>
      <c r="E47" s="95">
        <f>SUM($D$42:$D$44)</f>
        <v>0.48</v>
      </c>
      <c r="F47" s="95">
        <f aca="true" t="shared" si="44" ref="F47:K47">SUM($D$42:$D$44)</f>
        <v>0.48</v>
      </c>
      <c r="G47" s="95">
        <f t="shared" si="44"/>
        <v>0.48</v>
      </c>
      <c r="H47" s="95">
        <f t="shared" si="44"/>
        <v>0.48</v>
      </c>
      <c r="I47" s="95">
        <f t="shared" si="44"/>
        <v>0.48</v>
      </c>
      <c r="J47" s="95">
        <f t="shared" si="44"/>
        <v>0.48</v>
      </c>
      <c r="K47" s="109">
        <f t="shared" si="44"/>
        <v>0.48</v>
      </c>
      <c r="L47" s="2"/>
      <c r="M47" s="93" t="s">
        <v>69</v>
      </c>
      <c r="N47" s="19"/>
      <c r="O47" s="94"/>
      <c r="P47" s="95">
        <f>SUM($D$42:$D$44)</f>
        <v>0.48</v>
      </c>
      <c r="Q47" s="95">
        <f aca="true" t="shared" si="45" ref="Q47:V47">SUM($O$42:$O$44)</f>
        <v>0.5</v>
      </c>
      <c r="R47" s="95">
        <f t="shared" si="45"/>
        <v>0.5</v>
      </c>
      <c r="S47" s="95">
        <f t="shared" si="45"/>
        <v>0.5</v>
      </c>
      <c r="T47" s="95">
        <f t="shared" si="45"/>
        <v>0.5</v>
      </c>
      <c r="U47" s="95">
        <f t="shared" si="45"/>
        <v>0.5</v>
      </c>
      <c r="V47" s="95">
        <f t="shared" si="45"/>
        <v>0.5</v>
      </c>
      <c r="X47" s="93" t="s">
        <v>69</v>
      </c>
      <c r="Y47" s="19"/>
      <c r="Z47" s="94"/>
      <c r="AA47" s="95">
        <f>SUM($Z$42:$Z$44)</f>
        <v>0.5</v>
      </c>
      <c r="AB47" s="95">
        <f aca="true" t="shared" si="46" ref="AB47:AG47">SUM($Z$42:$Z$44)</f>
        <v>0.5</v>
      </c>
      <c r="AC47" s="95">
        <f t="shared" si="46"/>
        <v>0.5</v>
      </c>
      <c r="AD47" s="95">
        <f t="shared" si="46"/>
        <v>0.5</v>
      </c>
      <c r="AE47" s="95">
        <f t="shared" si="46"/>
        <v>0.5</v>
      </c>
      <c r="AF47" s="95">
        <f t="shared" si="46"/>
        <v>0.5</v>
      </c>
      <c r="AG47" s="95">
        <f t="shared" si="46"/>
        <v>0.5</v>
      </c>
    </row>
    <row r="48" spans="1:33" ht="19.5" thickBot="1">
      <c r="A48" s="2"/>
      <c r="B48" s="54" t="s">
        <v>36</v>
      </c>
      <c r="C48" s="55"/>
      <c r="D48" s="96"/>
      <c r="E48" s="97">
        <f>E49-E46</f>
        <v>504.55384615384617</v>
      </c>
      <c r="F48" s="97">
        <f aca="true" t="shared" si="47" ref="F48:K48">F49-F46</f>
        <v>2471.515384615384</v>
      </c>
      <c r="G48" s="97">
        <f t="shared" si="47"/>
        <v>2575.015384615384</v>
      </c>
      <c r="H48" s="97">
        <f t="shared" si="47"/>
        <v>2594.861538461538</v>
      </c>
      <c r="I48" s="97">
        <f t="shared" si="47"/>
        <v>2777.7461538461534</v>
      </c>
      <c r="J48" s="97">
        <f t="shared" si="47"/>
        <v>2872.015384615384</v>
      </c>
      <c r="K48" s="98">
        <f t="shared" si="47"/>
        <v>3134.861538461538</v>
      </c>
      <c r="L48" s="2"/>
      <c r="M48" s="54" t="s">
        <v>36</v>
      </c>
      <c r="N48" s="55"/>
      <c r="O48" s="96"/>
      <c r="P48" s="97">
        <f>P49-P46</f>
        <v>504.55384615384617</v>
      </c>
      <c r="Q48" s="97">
        <f aca="true" t="shared" si="48" ref="Q48:V48">Q49-Q46</f>
        <v>2158.25</v>
      </c>
      <c r="R48" s="97">
        <f t="shared" si="48"/>
        <v>2190.825</v>
      </c>
      <c r="S48" s="97">
        <f t="shared" si="48"/>
        <v>1107.225</v>
      </c>
      <c r="T48" s="97">
        <f t="shared" si="48"/>
        <v>1117.225</v>
      </c>
      <c r="U48" s="97">
        <f t="shared" si="48"/>
        <v>1117.225</v>
      </c>
      <c r="V48" s="98">
        <f t="shared" si="48"/>
        <v>1090.225</v>
      </c>
      <c r="X48" s="54" t="s">
        <v>36</v>
      </c>
      <c r="Y48" s="55"/>
      <c r="Z48" s="96"/>
      <c r="AA48" s="97">
        <f>AA49-AA46</f>
        <v>670.225</v>
      </c>
      <c r="AB48" s="97">
        <f aca="true" t="shared" si="49" ref="AB48:AG48">AB49-AB46</f>
        <v>2477.525</v>
      </c>
      <c r="AC48" s="97">
        <f t="shared" si="49"/>
        <v>2518.7</v>
      </c>
      <c r="AD48" s="97">
        <f t="shared" si="49"/>
        <v>2583.2</v>
      </c>
      <c r="AE48" s="97">
        <f t="shared" si="49"/>
        <v>2806.0499999999997</v>
      </c>
      <c r="AF48" s="97">
        <f t="shared" si="49"/>
        <v>2870.5499999999997</v>
      </c>
      <c r="AG48" s="98">
        <f t="shared" si="49"/>
        <v>3116.6</v>
      </c>
    </row>
    <row r="49" spans="1:33" ht="18.75">
      <c r="A49" s="2"/>
      <c r="B49" s="35" t="s">
        <v>71</v>
      </c>
      <c r="C49" s="36"/>
      <c r="D49" s="92"/>
      <c r="E49" s="101">
        <f>E46/(1-E47)</f>
        <v>1051.1538461538462</v>
      </c>
      <c r="F49" s="101">
        <f aca="true" t="shared" si="50" ref="F49:K49">F46/(1-F47)</f>
        <v>5148.990384615384</v>
      </c>
      <c r="G49" s="101">
        <f t="shared" si="50"/>
        <v>5364.615384615384</v>
      </c>
      <c r="H49" s="101">
        <f t="shared" si="50"/>
        <v>5405.961538461538</v>
      </c>
      <c r="I49" s="101">
        <f t="shared" si="50"/>
        <v>5786.971153846153</v>
      </c>
      <c r="J49" s="101">
        <f t="shared" si="50"/>
        <v>5983.365384615384</v>
      </c>
      <c r="K49" s="110">
        <f t="shared" si="50"/>
        <v>6530.961538461538</v>
      </c>
      <c r="L49" s="2"/>
      <c r="M49" s="35" t="s">
        <v>71</v>
      </c>
      <c r="N49" s="36"/>
      <c r="O49" s="92"/>
      <c r="P49" s="101">
        <f>P46/(1-P47)</f>
        <v>1051.1538461538462</v>
      </c>
      <c r="Q49" s="101">
        <f aca="true" t="shared" si="51" ref="Q49:V49">Q46/(1-Q47)</f>
        <v>4316.5</v>
      </c>
      <c r="R49" s="101">
        <f t="shared" si="51"/>
        <v>4381.65</v>
      </c>
      <c r="S49" s="101">
        <f t="shared" si="51"/>
        <v>2214.45</v>
      </c>
      <c r="T49" s="101">
        <f t="shared" si="51"/>
        <v>2234.45</v>
      </c>
      <c r="U49" s="101">
        <f t="shared" si="51"/>
        <v>2234.45</v>
      </c>
      <c r="V49" s="110">
        <f t="shared" si="51"/>
        <v>2180.45</v>
      </c>
      <c r="X49" s="35" t="s">
        <v>71</v>
      </c>
      <c r="Y49" s="36"/>
      <c r="Z49" s="92"/>
      <c r="AA49" s="101">
        <f>AA46/(1-AA47)</f>
        <v>1340.45</v>
      </c>
      <c r="AB49" s="101">
        <f aca="true" t="shared" si="52" ref="AB49:AG49">AB46/(1-AB47)</f>
        <v>4955.05</v>
      </c>
      <c r="AC49" s="101">
        <f t="shared" si="52"/>
        <v>5037.4</v>
      </c>
      <c r="AD49" s="101">
        <f t="shared" si="52"/>
        <v>5166.4</v>
      </c>
      <c r="AE49" s="101">
        <f t="shared" si="52"/>
        <v>5612.099999999999</v>
      </c>
      <c r="AF49" s="101">
        <f t="shared" si="52"/>
        <v>5741.099999999999</v>
      </c>
      <c r="AG49" s="110">
        <f t="shared" si="52"/>
        <v>6233.2</v>
      </c>
    </row>
    <row r="50" spans="1:33" ht="19.5" thickBot="1">
      <c r="A50" s="2"/>
      <c r="B50" s="23" t="s">
        <v>72</v>
      </c>
      <c r="C50" s="111"/>
      <c r="D50" s="112"/>
      <c r="E50" s="113">
        <v>0</v>
      </c>
      <c r="F50" s="113">
        <f aca="true" t="shared" si="53" ref="F50:K50">+(95+40+75)</f>
        <v>210</v>
      </c>
      <c r="G50" s="113">
        <f t="shared" si="53"/>
        <v>210</v>
      </c>
      <c r="H50" s="113">
        <f t="shared" si="53"/>
        <v>210</v>
      </c>
      <c r="I50" s="113">
        <f t="shared" si="53"/>
        <v>210</v>
      </c>
      <c r="J50" s="113">
        <f t="shared" si="53"/>
        <v>210</v>
      </c>
      <c r="K50" s="113">
        <f t="shared" si="53"/>
        <v>210</v>
      </c>
      <c r="L50" s="2"/>
      <c r="M50" s="23" t="s">
        <v>72</v>
      </c>
      <c r="N50" s="111"/>
      <c r="O50" s="112"/>
      <c r="P50" s="113">
        <v>0</v>
      </c>
      <c r="Q50" s="113">
        <f aca="true" t="shared" si="54" ref="Q50:V50">+(95+40+75)</f>
        <v>210</v>
      </c>
      <c r="R50" s="113">
        <f t="shared" si="54"/>
        <v>210</v>
      </c>
      <c r="S50" s="113">
        <f t="shared" si="54"/>
        <v>210</v>
      </c>
      <c r="T50" s="113">
        <f t="shared" si="54"/>
        <v>210</v>
      </c>
      <c r="U50" s="113">
        <f t="shared" si="54"/>
        <v>210</v>
      </c>
      <c r="V50" s="113">
        <f t="shared" si="54"/>
        <v>210</v>
      </c>
      <c r="X50" s="23" t="s">
        <v>72</v>
      </c>
      <c r="Y50" s="111"/>
      <c r="Z50" s="112"/>
      <c r="AA50" s="113">
        <v>0</v>
      </c>
      <c r="AB50" s="113">
        <f aca="true" t="shared" si="55" ref="AB50:AG50">+(95+40+75)</f>
        <v>210</v>
      </c>
      <c r="AC50" s="113">
        <f t="shared" si="55"/>
        <v>210</v>
      </c>
      <c r="AD50" s="113">
        <f t="shared" si="55"/>
        <v>210</v>
      </c>
      <c r="AE50" s="113">
        <f t="shared" si="55"/>
        <v>210</v>
      </c>
      <c r="AF50" s="113">
        <f t="shared" si="55"/>
        <v>210</v>
      </c>
      <c r="AG50" s="113">
        <f t="shared" si="55"/>
        <v>210</v>
      </c>
    </row>
    <row r="51" spans="1:33" ht="19.5" thickBot="1">
      <c r="A51" s="2"/>
      <c r="B51" s="106"/>
      <c r="C51" s="107"/>
      <c r="D51" s="107"/>
      <c r="E51" s="108"/>
      <c r="F51" s="108"/>
      <c r="G51" s="108"/>
      <c r="H51" s="108"/>
      <c r="I51" s="108"/>
      <c r="J51" s="108"/>
      <c r="K51" s="108"/>
      <c r="L51" s="2"/>
      <c r="M51" s="106"/>
      <c r="N51" s="107"/>
      <c r="O51" s="107"/>
      <c r="P51" s="108"/>
      <c r="Q51" s="108"/>
      <c r="R51" s="108"/>
      <c r="S51" s="108"/>
      <c r="T51" s="108"/>
      <c r="U51" s="108"/>
      <c r="V51" s="108"/>
      <c r="X51" s="106"/>
      <c r="Y51" s="107"/>
      <c r="Z51" s="107"/>
      <c r="AA51" s="108"/>
      <c r="AB51" s="108"/>
      <c r="AC51" s="108"/>
      <c r="AD51" s="108"/>
      <c r="AE51" s="108"/>
      <c r="AF51" s="108"/>
      <c r="AG51" s="108"/>
    </row>
    <row r="52" spans="1:33" ht="18.75">
      <c r="A52" s="2"/>
      <c r="B52" s="128" t="s">
        <v>76</v>
      </c>
      <c r="C52" s="115"/>
      <c r="D52" s="116"/>
      <c r="E52" s="117">
        <f aca="true" t="shared" si="56" ref="E52:K52">SUM(E49:E50)</f>
        <v>1051.1538461538462</v>
      </c>
      <c r="F52" s="117">
        <f t="shared" si="56"/>
        <v>5358.990384615384</v>
      </c>
      <c r="G52" s="117">
        <f t="shared" si="56"/>
        <v>5574.615384615384</v>
      </c>
      <c r="H52" s="117">
        <f t="shared" si="56"/>
        <v>5615.961538461538</v>
      </c>
      <c r="I52" s="117">
        <f t="shared" si="56"/>
        <v>5996.971153846153</v>
      </c>
      <c r="J52" s="117">
        <f t="shared" si="56"/>
        <v>6193.365384615384</v>
      </c>
      <c r="K52" s="118">
        <f t="shared" si="56"/>
        <v>6740.961538461538</v>
      </c>
      <c r="L52" s="2"/>
      <c r="M52" s="128" t="s">
        <v>76</v>
      </c>
      <c r="N52" s="115"/>
      <c r="O52" s="116"/>
      <c r="P52" s="117">
        <f aca="true" t="shared" si="57" ref="P52:V52">SUM(P49:P50)</f>
        <v>1051.1538461538462</v>
      </c>
      <c r="Q52" s="117">
        <f t="shared" si="57"/>
        <v>4526.5</v>
      </c>
      <c r="R52" s="117">
        <f t="shared" si="57"/>
        <v>4591.65</v>
      </c>
      <c r="S52" s="117">
        <f t="shared" si="57"/>
        <v>2424.45</v>
      </c>
      <c r="T52" s="117">
        <f t="shared" si="57"/>
        <v>2444.45</v>
      </c>
      <c r="U52" s="117">
        <f t="shared" si="57"/>
        <v>2444.45</v>
      </c>
      <c r="V52" s="118">
        <f t="shared" si="57"/>
        <v>2390.45</v>
      </c>
      <c r="X52" s="128" t="s">
        <v>76</v>
      </c>
      <c r="Y52" s="115"/>
      <c r="Z52" s="116"/>
      <c r="AA52" s="117">
        <f aca="true" t="shared" si="58" ref="AA52:AG52">SUM(AA49:AA50)</f>
        <v>1340.45</v>
      </c>
      <c r="AB52" s="117">
        <f t="shared" si="58"/>
        <v>5165.05</v>
      </c>
      <c r="AC52" s="117">
        <f t="shared" si="58"/>
        <v>5247.4</v>
      </c>
      <c r="AD52" s="117">
        <f t="shared" si="58"/>
        <v>5376.4</v>
      </c>
      <c r="AE52" s="117">
        <f t="shared" si="58"/>
        <v>5822.099999999999</v>
      </c>
      <c r="AF52" s="117">
        <f t="shared" si="58"/>
        <v>5951.099999999999</v>
      </c>
      <c r="AG52" s="118">
        <f t="shared" si="58"/>
        <v>6443.2</v>
      </c>
    </row>
    <row r="53" spans="1:33" ht="18.75">
      <c r="A53" s="2"/>
      <c r="B53" s="129" t="s">
        <v>75</v>
      </c>
      <c r="C53" s="119"/>
      <c r="D53" s="120"/>
      <c r="E53" s="121">
        <f aca="true" t="shared" si="59" ref="E53:K55">E52/0.95</f>
        <v>1106.4777327935224</v>
      </c>
      <c r="F53" s="121">
        <f t="shared" si="59"/>
        <v>5641.042510121457</v>
      </c>
      <c r="G53" s="121">
        <f t="shared" si="59"/>
        <v>5868.016194331984</v>
      </c>
      <c r="H53" s="121">
        <f t="shared" si="59"/>
        <v>5911.538461538462</v>
      </c>
      <c r="I53" s="121">
        <f t="shared" si="59"/>
        <v>6312.601214574898</v>
      </c>
      <c r="J53" s="121">
        <f t="shared" si="59"/>
        <v>6519.331983805668</v>
      </c>
      <c r="K53" s="122">
        <f t="shared" si="59"/>
        <v>7095.748987854251</v>
      </c>
      <c r="L53" s="2"/>
      <c r="M53" s="129" t="s">
        <v>75</v>
      </c>
      <c r="N53" s="119"/>
      <c r="O53" s="120"/>
      <c r="P53" s="121">
        <f aca="true" t="shared" si="60" ref="P53:V55">P52/0.95</f>
        <v>1106.4777327935224</v>
      </c>
      <c r="Q53" s="121">
        <f t="shared" si="60"/>
        <v>4764.736842105263</v>
      </c>
      <c r="R53" s="121">
        <f t="shared" si="60"/>
        <v>4833.315789473684</v>
      </c>
      <c r="S53" s="121">
        <f t="shared" si="60"/>
        <v>2552.0526315789475</v>
      </c>
      <c r="T53" s="121">
        <f t="shared" si="60"/>
        <v>2573.1052631578946</v>
      </c>
      <c r="U53" s="121">
        <f t="shared" si="60"/>
        <v>2573.1052631578946</v>
      </c>
      <c r="V53" s="122">
        <f t="shared" si="60"/>
        <v>2516.2631578947367</v>
      </c>
      <c r="X53" s="129" t="s">
        <v>75</v>
      </c>
      <c r="Y53" s="119"/>
      <c r="Z53" s="120"/>
      <c r="AA53" s="121">
        <f aca="true" t="shared" si="61" ref="AA53:AG55">AA52/0.95</f>
        <v>1411.0000000000002</v>
      </c>
      <c r="AB53" s="121">
        <f t="shared" si="61"/>
        <v>5436.894736842106</v>
      </c>
      <c r="AC53" s="121">
        <f t="shared" si="61"/>
        <v>5523.578947368421</v>
      </c>
      <c r="AD53" s="121">
        <f t="shared" si="61"/>
        <v>5659.368421052632</v>
      </c>
      <c r="AE53" s="121">
        <f t="shared" si="61"/>
        <v>6128.526315789473</v>
      </c>
      <c r="AF53" s="121">
        <f t="shared" si="61"/>
        <v>6264.315789473684</v>
      </c>
      <c r="AG53" s="122">
        <f t="shared" si="61"/>
        <v>6782.315789473684</v>
      </c>
    </row>
    <row r="54" spans="1:33" ht="19.5" thickBot="1">
      <c r="A54" s="2"/>
      <c r="B54" s="129" t="s">
        <v>74</v>
      </c>
      <c r="C54" s="123"/>
      <c r="D54" s="123"/>
      <c r="E54" s="124">
        <f t="shared" si="59"/>
        <v>1164.71340294055</v>
      </c>
      <c r="F54" s="124">
        <f t="shared" si="59"/>
        <v>5937.939484338376</v>
      </c>
      <c r="G54" s="124">
        <f t="shared" si="59"/>
        <v>6176.859151928404</v>
      </c>
      <c r="H54" s="124">
        <f t="shared" si="59"/>
        <v>6222.672064777328</v>
      </c>
      <c r="I54" s="124">
        <f t="shared" si="59"/>
        <v>6644.843383763051</v>
      </c>
      <c r="J54" s="124">
        <f t="shared" si="59"/>
        <v>6862.45471979544</v>
      </c>
      <c r="K54" s="125">
        <f t="shared" si="59"/>
        <v>7469.209460899212</v>
      </c>
      <c r="L54" s="2"/>
      <c r="M54" s="129" t="s">
        <v>74</v>
      </c>
      <c r="N54" s="123"/>
      <c r="O54" s="123"/>
      <c r="P54" s="124">
        <f t="shared" si="60"/>
        <v>1164.71340294055</v>
      </c>
      <c r="Q54" s="124">
        <f t="shared" si="60"/>
        <v>5015.512465373961</v>
      </c>
      <c r="R54" s="124">
        <f t="shared" si="60"/>
        <v>5087.700831024931</v>
      </c>
      <c r="S54" s="124">
        <f t="shared" si="60"/>
        <v>2686.3711911357345</v>
      </c>
      <c r="T54" s="124">
        <f t="shared" si="60"/>
        <v>2708.5318559556786</v>
      </c>
      <c r="U54" s="124">
        <f t="shared" si="60"/>
        <v>2708.5318559556786</v>
      </c>
      <c r="V54" s="125">
        <f t="shared" si="60"/>
        <v>2648.6980609418283</v>
      </c>
      <c r="X54" s="129" t="s">
        <v>74</v>
      </c>
      <c r="Y54" s="123"/>
      <c r="Z54" s="123"/>
      <c r="AA54" s="124">
        <f t="shared" si="61"/>
        <v>1485.263157894737</v>
      </c>
      <c r="AB54" s="124">
        <f t="shared" si="61"/>
        <v>5723.047091412744</v>
      </c>
      <c r="AC54" s="124">
        <f t="shared" si="61"/>
        <v>5814.293628808864</v>
      </c>
      <c r="AD54" s="124">
        <f t="shared" si="61"/>
        <v>5957.229916897507</v>
      </c>
      <c r="AE54" s="124">
        <f t="shared" si="61"/>
        <v>6451.0803324099725</v>
      </c>
      <c r="AF54" s="124">
        <f t="shared" si="61"/>
        <v>6594.016620498615</v>
      </c>
      <c r="AG54" s="125">
        <f t="shared" si="61"/>
        <v>7139.279778393352</v>
      </c>
    </row>
    <row r="55" spans="1:33" ht="19.5" thickBot="1">
      <c r="A55" s="2"/>
      <c r="B55" s="168" t="s">
        <v>77</v>
      </c>
      <c r="C55" s="169"/>
      <c r="D55" s="170"/>
      <c r="E55" s="171">
        <f t="shared" si="59"/>
        <v>1226.0141083584738</v>
      </c>
      <c r="F55" s="171">
        <f t="shared" si="59"/>
        <v>6250.462615093028</v>
      </c>
      <c r="G55" s="171">
        <f t="shared" si="59"/>
        <v>6501.957002029899</v>
      </c>
      <c r="H55" s="171">
        <f t="shared" si="59"/>
        <v>6550.181120818241</v>
      </c>
      <c r="I55" s="171">
        <f t="shared" si="59"/>
        <v>6994.571982908475</v>
      </c>
      <c r="J55" s="171">
        <f t="shared" si="59"/>
        <v>7223.636547153095</v>
      </c>
      <c r="K55" s="172">
        <f t="shared" si="59"/>
        <v>7862.32574831496</v>
      </c>
      <c r="L55" s="2"/>
      <c r="M55" s="168" t="s">
        <v>77</v>
      </c>
      <c r="N55" s="169"/>
      <c r="O55" s="170"/>
      <c r="P55" s="171">
        <f t="shared" si="60"/>
        <v>1226.0141083584738</v>
      </c>
      <c r="Q55" s="171">
        <f t="shared" si="60"/>
        <v>5279.486805656801</v>
      </c>
      <c r="R55" s="171">
        <f t="shared" si="60"/>
        <v>5355.474558973612</v>
      </c>
      <c r="S55" s="171">
        <f t="shared" si="60"/>
        <v>2827.7591485639314</v>
      </c>
      <c r="T55" s="171">
        <f t="shared" si="60"/>
        <v>2851.086164163872</v>
      </c>
      <c r="U55" s="171">
        <f t="shared" si="60"/>
        <v>2851.086164163872</v>
      </c>
      <c r="V55" s="172">
        <f t="shared" si="60"/>
        <v>2788.1032220440297</v>
      </c>
      <c r="X55" s="168" t="s">
        <v>77</v>
      </c>
      <c r="Y55" s="169"/>
      <c r="Z55" s="170"/>
      <c r="AA55" s="171">
        <f t="shared" si="61"/>
        <v>1563.4349030470917</v>
      </c>
      <c r="AB55" s="171">
        <f t="shared" si="61"/>
        <v>6024.260096223941</v>
      </c>
      <c r="AC55" s="171">
        <f t="shared" si="61"/>
        <v>6120.309082956699</v>
      </c>
      <c r="AD55" s="171">
        <f t="shared" si="61"/>
        <v>6270.768333576323</v>
      </c>
      <c r="AE55" s="171">
        <f t="shared" si="61"/>
        <v>6790.610876221024</v>
      </c>
      <c r="AF55" s="171">
        <f t="shared" si="61"/>
        <v>6941.070126840648</v>
      </c>
      <c r="AG55" s="172">
        <f t="shared" si="61"/>
        <v>7515.031345677213</v>
      </c>
    </row>
    <row r="56" spans="1:33" ht="19.5" thickBot="1">
      <c r="A56" s="2"/>
      <c r="B56" s="29"/>
      <c r="C56" s="20"/>
      <c r="D56" s="20"/>
      <c r="E56" s="2"/>
      <c r="F56" s="2"/>
      <c r="G56" s="2"/>
      <c r="H56" s="2"/>
      <c r="I56" s="2"/>
      <c r="J56" s="2"/>
      <c r="K56" s="2"/>
      <c r="L56" s="2"/>
      <c r="M56" s="29"/>
      <c r="N56" s="20"/>
      <c r="O56" s="20"/>
      <c r="P56" s="2"/>
      <c r="Q56" s="2"/>
      <c r="R56" s="2"/>
      <c r="S56" s="2"/>
      <c r="T56" s="2"/>
      <c r="U56" s="2"/>
      <c r="V56" s="2"/>
      <c r="X56" s="29"/>
      <c r="Y56" s="20"/>
      <c r="Z56" s="20"/>
      <c r="AA56" s="2"/>
      <c r="AB56" s="2"/>
      <c r="AC56" s="2"/>
      <c r="AD56" s="2"/>
      <c r="AE56" s="2"/>
      <c r="AF56" s="2"/>
      <c r="AG56" s="2"/>
    </row>
    <row r="57" spans="1:33" ht="18.75">
      <c r="A57" s="2"/>
      <c r="B57" s="25" t="s">
        <v>62</v>
      </c>
      <c r="C57" s="102"/>
      <c r="D57" s="103"/>
      <c r="E57" s="152">
        <f>(E14)/E52</f>
        <v>0</v>
      </c>
      <c r="F57" s="152">
        <f aca="true" t="shared" si="62" ref="F57:K57">(F14-81)/F52</f>
        <v>0.3028322283725228</v>
      </c>
      <c r="G57" s="152">
        <f t="shared" si="62"/>
        <v>0.30943838829860637</v>
      </c>
      <c r="H57" s="152">
        <f t="shared" si="62"/>
        <v>0.3109885970619457</v>
      </c>
      <c r="I57" s="152">
        <f t="shared" si="62"/>
        <v>0.32260035113879604</v>
      </c>
      <c r="J57" s="152">
        <f t="shared" si="62"/>
        <v>0.32885997733306427</v>
      </c>
      <c r="K57" s="153">
        <f t="shared" si="62"/>
        <v>0.3483924343137535</v>
      </c>
      <c r="L57" s="2"/>
      <c r="M57" s="25" t="s">
        <v>62</v>
      </c>
      <c r="N57" s="102"/>
      <c r="O57" s="103"/>
      <c r="P57" s="152">
        <f>(P14)/P52</f>
        <v>0</v>
      </c>
      <c r="Q57" s="152">
        <f aca="true" t="shared" si="63" ref="Q57:V57">(Q14-81)/Q52</f>
        <v>0.24381972826687287</v>
      </c>
      <c r="R57" s="152">
        <f t="shared" si="63"/>
        <v>0.2452767523657073</v>
      </c>
      <c r="S57" s="152">
        <f t="shared" si="63"/>
        <v>0.017581307100579514</v>
      </c>
      <c r="T57" s="152">
        <f t="shared" si="63"/>
        <v>0.017437460369408252</v>
      </c>
      <c r="U57" s="152">
        <f t="shared" si="63"/>
        <v>0.017437460369408252</v>
      </c>
      <c r="V57" s="153">
        <f t="shared" si="63"/>
        <v>0.017831370662427577</v>
      </c>
      <c r="X57" s="25" t="s">
        <v>62</v>
      </c>
      <c r="Y57" s="102"/>
      <c r="Z57" s="103"/>
      <c r="AA57" s="152">
        <f>(AA14)/AA52</f>
        <v>0.09222649110373382</v>
      </c>
      <c r="AB57" s="152">
        <f aca="true" t="shared" si="64" ref="AB57:AG57">(AB14-81)/AB52</f>
        <v>0.2754910407450073</v>
      </c>
      <c r="AC57" s="152">
        <f t="shared" si="64"/>
        <v>0.2771086633380341</v>
      </c>
      <c r="AD57" s="152">
        <f t="shared" si="64"/>
        <v>0.2824566624507105</v>
      </c>
      <c r="AE57" s="152">
        <f t="shared" si="64"/>
        <v>0.29739269335806673</v>
      </c>
      <c r="AF57" s="152">
        <f t="shared" si="64"/>
        <v>0.3017845440338761</v>
      </c>
      <c r="AG57" s="153">
        <f t="shared" si="64"/>
        <v>0.32111373230692825</v>
      </c>
    </row>
    <row r="58" spans="1:33" ht="18.75">
      <c r="A58" s="2"/>
      <c r="B58" s="21" t="s">
        <v>63</v>
      </c>
      <c r="C58" s="8"/>
      <c r="D58" s="6"/>
      <c r="E58" s="131">
        <f>+E27/E52</f>
        <v>0</v>
      </c>
      <c r="F58" s="131">
        <f aca="true" t="shared" si="65" ref="F58:K58">+F27/F52</f>
        <v>0.07221509505055308</v>
      </c>
      <c r="G58" s="131">
        <f t="shared" si="65"/>
        <v>0.06942182972264387</v>
      </c>
      <c r="H58" s="131">
        <f t="shared" si="65"/>
        <v>0.06891072834982707</v>
      </c>
      <c r="I58" s="131">
        <f t="shared" si="65"/>
        <v>0.06453257654104236</v>
      </c>
      <c r="J58" s="131">
        <f t="shared" si="65"/>
        <v>0.062486221297604456</v>
      </c>
      <c r="K58" s="154">
        <f t="shared" si="65"/>
        <v>0.05340484409323026</v>
      </c>
      <c r="L58" s="2"/>
      <c r="M58" s="21" t="s">
        <v>63</v>
      </c>
      <c r="N58" s="8"/>
      <c r="O58" s="6"/>
      <c r="P58" s="131">
        <f>+P27/P52</f>
        <v>0</v>
      </c>
      <c r="Q58" s="131">
        <f aca="true" t="shared" si="66" ref="Q58:V58">+Q27/Q52</f>
        <v>0.08549652049044516</v>
      </c>
      <c r="R58" s="131">
        <f t="shared" si="66"/>
        <v>0.08428342752605274</v>
      </c>
      <c r="S58" s="131">
        <f t="shared" si="66"/>
        <v>0.15962383220936707</v>
      </c>
      <c r="T58" s="131">
        <f t="shared" si="66"/>
        <v>0.15831782200495</v>
      </c>
      <c r="U58" s="131">
        <f t="shared" si="66"/>
        <v>0.15831782200495</v>
      </c>
      <c r="V58" s="154">
        <f t="shared" si="66"/>
        <v>0.15059925955364054</v>
      </c>
      <c r="X58" s="21" t="s">
        <v>63</v>
      </c>
      <c r="Y58" s="8"/>
      <c r="Z58" s="6"/>
      <c r="AA58" s="131">
        <f>+AA27/AA52</f>
        <v>0</v>
      </c>
      <c r="AB58" s="131">
        <f aca="true" t="shared" si="67" ref="AB58:AG58">+AB27/AB52</f>
        <v>0.07492667060338234</v>
      </c>
      <c r="AC58" s="131">
        <f t="shared" si="67"/>
        <v>0.0737508099249152</v>
      </c>
      <c r="AD58" s="131">
        <f t="shared" si="67"/>
        <v>0.0719812513949855</v>
      </c>
      <c r="AE58" s="131">
        <f t="shared" si="67"/>
        <v>0.06647086102952543</v>
      </c>
      <c r="AF58" s="131">
        <f t="shared" si="67"/>
        <v>0.06502999445480669</v>
      </c>
      <c r="AG58" s="154">
        <f t="shared" si="67"/>
        <v>0.05587285820710206</v>
      </c>
    </row>
    <row r="59" spans="1:33" ht="18.75">
      <c r="A59" s="2"/>
      <c r="B59" s="21" t="s">
        <v>64</v>
      </c>
      <c r="C59" s="8"/>
      <c r="D59" s="6"/>
      <c r="E59" s="131">
        <f>+E34/E52</f>
        <v>0.3234540797658251</v>
      </c>
      <c r="F59" s="131">
        <f aca="true" t="shared" si="68" ref="F59:K59">+F34/F52</f>
        <v>0.06344478634932313</v>
      </c>
      <c r="G59" s="131">
        <f t="shared" si="68"/>
        <v>0.06099075479508763</v>
      </c>
      <c r="H59" s="131">
        <f t="shared" si="68"/>
        <v>0.06054172516522276</v>
      </c>
      <c r="I59" s="131">
        <f t="shared" si="68"/>
        <v>0.056695286883603105</v>
      </c>
      <c r="J59" s="131">
        <f t="shared" si="68"/>
        <v>0.05489745540358014</v>
      </c>
      <c r="K59" s="154">
        <f t="shared" si="68"/>
        <v>0.05043790831027302</v>
      </c>
      <c r="L59" s="2"/>
      <c r="M59" s="21" t="s">
        <v>64</v>
      </c>
      <c r="N59" s="8"/>
      <c r="O59" s="6"/>
      <c r="P59" s="131">
        <f>+P34/P52</f>
        <v>0.3234540797658251</v>
      </c>
      <c r="Q59" s="131">
        <f aca="true" t="shared" si="69" ref="Q59:V59">+Q34/Q52</f>
        <v>0.0751132221363084</v>
      </c>
      <c r="R59" s="131">
        <f t="shared" si="69"/>
        <v>0.07404745570764323</v>
      </c>
      <c r="S59" s="131">
        <f t="shared" si="69"/>
        <v>0.14023799212192456</v>
      </c>
      <c r="T59" s="131">
        <f t="shared" si="69"/>
        <v>0.13909059297592508</v>
      </c>
      <c r="U59" s="131">
        <f t="shared" si="69"/>
        <v>0.13909059297592508</v>
      </c>
      <c r="V59" s="154">
        <f t="shared" si="69"/>
        <v>0.14223263402288272</v>
      </c>
      <c r="X59" s="21" t="s">
        <v>64</v>
      </c>
      <c r="Y59" s="8"/>
      <c r="Z59" s="6"/>
      <c r="AA59" s="131">
        <f>+AA34/AA52</f>
        <v>0.2536461636017755</v>
      </c>
      <c r="AB59" s="131">
        <f aca="true" t="shared" si="70" ref="AB59:AG59">+AB34/AB52</f>
        <v>0.06582704910891472</v>
      </c>
      <c r="AC59" s="131">
        <f t="shared" si="70"/>
        <v>0.06479399321568777</v>
      </c>
      <c r="AD59" s="131">
        <f t="shared" si="70"/>
        <v>0.06323934231083997</v>
      </c>
      <c r="AE59" s="131">
        <f t="shared" si="70"/>
        <v>0.05839817248072002</v>
      </c>
      <c r="AF59" s="131">
        <f t="shared" si="70"/>
        <v>0.057132294869856</v>
      </c>
      <c r="AG59" s="154">
        <f t="shared" si="70"/>
        <v>0.052768810528929726</v>
      </c>
    </row>
    <row r="60" spans="1:33" ht="18.75">
      <c r="A60" s="2"/>
      <c r="B60" s="21" t="s">
        <v>92</v>
      </c>
      <c r="C60" s="8"/>
      <c r="D60" s="6"/>
      <c r="E60" s="132">
        <f>E65/E34</f>
        <v>1.2984841628959276</v>
      </c>
      <c r="F60" s="132">
        <f aca="true" t="shared" si="71" ref="F60:K60">F65/F34</f>
        <v>6.941105769230767</v>
      </c>
      <c r="G60" s="132">
        <f t="shared" si="71"/>
        <v>7.207466063348415</v>
      </c>
      <c r="H60" s="132">
        <f t="shared" si="71"/>
        <v>7.258540723981899</v>
      </c>
      <c r="I60" s="132">
        <f t="shared" si="71"/>
        <v>7.729199660633483</v>
      </c>
      <c r="J60" s="132">
        <f t="shared" si="71"/>
        <v>7.971804298642533</v>
      </c>
      <c r="K60" s="155">
        <f t="shared" si="71"/>
        <v>8.64824660633484</v>
      </c>
      <c r="L60" s="2"/>
      <c r="M60" s="21" t="s">
        <v>92</v>
      </c>
      <c r="N60" s="8"/>
      <c r="O60" s="6"/>
      <c r="P60" s="132">
        <f>P65/P34</f>
        <v>1.2984841628959276</v>
      </c>
      <c r="Q60" s="132">
        <f aca="true" t="shared" si="72" ref="Q60:V60">Q65/Q34</f>
        <v>6.166647058823529</v>
      </c>
      <c r="R60" s="132">
        <f t="shared" si="72"/>
        <v>6.250958823529412</v>
      </c>
      <c r="S60" s="132">
        <f t="shared" si="72"/>
        <v>3.446347058823529</v>
      </c>
      <c r="T60" s="132">
        <f t="shared" si="72"/>
        <v>3.472229411764706</v>
      </c>
      <c r="U60" s="132">
        <f t="shared" si="72"/>
        <v>3.472229411764706</v>
      </c>
      <c r="V60" s="155">
        <f t="shared" si="72"/>
        <v>3.4023470588235294</v>
      </c>
      <c r="X60" s="21" t="s">
        <v>92</v>
      </c>
      <c r="Y60" s="8"/>
      <c r="Z60" s="6"/>
      <c r="AA60" s="132">
        <f>AA65/AA34</f>
        <v>1.7347</v>
      </c>
      <c r="AB60" s="132">
        <f aca="true" t="shared" si="73" ref="AB60:AG60">AB65/AB34</f>
        <v>6.993005882352942</v>
      </c>
      <c r="AC60" s="132">
        <f t="shared" si="73"/>
        <v>7.099576470588235</v>
      </c>
      <c r="AD60" s="132">
        <f t="shared" si="73"/>
        <v>7.266517647058824</v>
      </c>
      <c r="AE60" s="132">
        <f t="shared" si="73"/>
        <v>7.84330588235294</v>
      </c>
      <c r="AF60" s="132">
        <f t="shared" si="73"/>
        <v>8.010247058823529</v>
      </c>
      <c r="AG60" s="155">
        <f t="shared" si="73"/>
        <v>8.647082352941176</v>
      </c>
    </row>
    <row r="61" spans="1:33" ht="18.75">
      <c r="A61" s="2"/>
      <c r="B61" s="22" t="s">
        <v>27</v>
      </c>
      <c r="C61" s="9"/>
      <c r="D61" s="7"/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56">
        <v>0</v>
      </c>
      <c r="L61" s="2"/>
      <c r="M61" s="22" t="s">
        <v>27</v>
      </c>
      <c r="N61" s="9"/>
      <c r="O61" s="7"/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133">
        <v>0</v>
      </c>
      <c r="V61" s="156">
        <v>0</v>
      </c>
      <c r="X61" s="22" t="s">
        <v>27</v>
      </c>
      <c r="Y61" s="9"/>
      <c r="Z61" s="7"/>
      <c r="AA61" s="133">
        <v>0</v>
      </c>
      <c r="AB61" s="133">
        <v>0</v>
      </c>
      <c r="AC61" s="133">
        <v>0</v>
      </c>
      <c r="AD61" s="133">
        <v>0</v>
      </c>
      <c r="AE61" s="133">
        <v>0</v>
      </c>
      <c r="AF61" s="133">
        <v>0</v>
      </c>
      <c r="AG61" s="156">
        <v>0</v>
      </c>
    </row>
    <row r="62" spans="1:33" ht="18.75">
      <c r="A62" s="2"/>
      <c r="B62" s="22" t="s">
        <v>49</v>
      </c>
      <c r="C62" s="9"/>
      <c r="D62" s="7"/>
      <c r="E62" s="134">
        <f aca="true" t="shared" si="74" ref="E62:K62">E52*0.06</f>
        <v>63.06923076923077</v>
      </c>
      <c r="F62" s="134">
        <f t="shared" si="74"/>
        <v>321.539423076923</v>
      </c>
      <c r="G62" s="134">
        <f t="shared" si="74"/>
        <v>334.476923076923</v>
      </c>
      <c r="H62" s="134">
        <f t="shared" si="74"/>
        <v>336.9576923076923</v>
      </c>
      <c r="I62" s="134">
        <f t="shared" si="74"/>
        <v>359.8182692307692</v>
      </c>
      <c r="J62" s="134">
        <f t="shared" si="74"/>
        <v>371.601923076923</v>
      </c>
      <c r="K62" s="157">
        <f t="shared" si="74"/>
        <v>404.4576923076923</v>
      </c>
      <c r="L62" s="2"/>
      <c r="M62" s="22" t="s">
        <v>49</v>
      </c>
      <c r="N62" s="9"/>
      <c r="O62" s="7"/>
      <c r="P62" s="134">
        <f aca="true" t="shared" si="75" ref="P62:V62">P52*0.06</f>
        <v>63.06923076923077</v>
      </c>
      <c r="Q62" s="134">
        <f t="shared" si="75"/>
        <v>271.59</v>
      </c>
      <c r="R62" s="134">
        <f t="shared" si="75"/>
        <v>275.49899999999997</v>
      </c>
      <c r="S62" s="134">
        <f t="shared" si="75"/>
        <v>145.46699999999998</v>
      </c>
      <c r="T62" s="134">
        <f t="shared" si="75"/>
        <v>146.66699999999997</v>
      </c>
      <c r="U62" s="134">
        <f t="shared" si="75"/>
        <v>146.66699999999997</v>
      </c>
      <c r="V62" s="157">
        <f t="shared" si="75"/>
        <v>143.427</v>
      </c>
      <c r="X62" s="22" t="s">
        <v>49</v>
      </c>
      <c r="Y62" s="9"/>
      <c r="Z62" s="7"/>
      <c r="AA62" s="134">
        <f aca="true" t="shared" si="76" ref="AA62:AG62">AA52*0.06</f>
        <v>80.427</v>
      </c>
      <c r="AB62" s="134">
        <f t="shared" si="76"/>
        <v>309.903</v>
      </c>
      <c r="AC62" s="134">
        <f t="shared" si="76"/>
        <v>314.844</v>
      </c>
      <c r="AD62" s="134">
        <f t="shared" si="76"/>
        <v>322.58399999999995</v>
      </c>
      <c r="AE62" s="134">
        <f t="shared" si="76"/>
        <v>349.32599999999996</v>
      </c>
      <c r="AF62" s="134">
        <f t="shared" si="76"/>
        <v>357.066</v>
      </c>
      <c r="AG62" s="157">
        <f t="shared" si="76"/>
        <v>386.592</v>
      </c>
    </row>
    <row r="63" spans="1:33" ht="19.5" thickBot="1">
      <c r="A63" s="2"/>
      <c r="B63" s="28" t="s">
        <v>34</v>
      </c>
      <c r="C63" s="104"/>
      <c r="D63" s="105"/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9">
        <v>0</v>
      </c>
      <c r="L63" s="2"/>
      <c r="M63" s="28" t="s">
        <v>34</v>
      </c>
      <c r="N63" s="104"/>
      <c r="O63" s="105"/>
      <c r="P63" s="158">
        <v>0</v>
      </c>
      <c r="Q63" s="158">
        <v>0</v>
      </c>
      <c r="R63" s="158">
        <v>0</v>
      </c>
      <c r="S63" s="158">
        <v>0</v>
      </c>
      <c r="T63" s="158">
        <v>0</v>
      </c>
      <c r="U63" s="158">
        <v>0</v>
      </c>
      <c r="V63" s="159">
        <v>0</v>
      </c>
      <c r="X63" s="28" t="s">
        <v>34</v>
      </c>
      <c r="Y63" s="104"/>
      <c r="Z63" s="105"/>
      <c r="AA63" s="158">
        <v>0</v>
      </c>
      <c r="AB63" s="158">
        <v>0</v>
      </c>
      <c r="AC63" s="158">
        <v>0</v>
      </c>
      <c r="AD63" s="158">
        <v>0</v>
      </c>
      <c r="AE63" s="158">
        <v>0</v>
      </c>
      <c r="AF63" s="158">
        <v>0</v>
      </c>
      <c r="AG63" s="159">
        <v>0</v>
      </c>
    </row>
    <row r="64" spans="1:33" ht="18.75">
      <c r="A64" s="2"/>
      <c r="B64" s="135" t="s">
        <v>16</v>
      </c>
      <c r="C64" s="136"/>
      <c r="D64" s="137"/>
      <c r="E64" s="138">
        <f aca="true" t="shared" si="77" ref="E64:K64">SUM(E61:E63)</f>
        <v>63.06923076923077</v>
      </c>
      <c r="F64" s="138">
        <f t="shared" si="77"/>
        <v>321.539423076923</v>
      </c>
      <c r="G64" s="138">
        <f t="shared" si="77"/>
        <v>334.476923076923</v>
      </c>
      <c r="H64" s="138">
        <f t="shared" si="77"/>
        <v>336.9576923076923</v>
      </c>
      <c r="I64" s="138">
        <f t="shared" si="77"/>
        <v>359.8182692307692</v>
      </c>
      <c r="J64" s="138">
        <f t="shared" si="77"/>
        <v>371.601923076923</v>
      </c>
      <c r="K64" s="139">
        <f t="shared" si="77"/>
        <v>404.4576923076923</v>
      </c>
      <c r="L64" s="2"/>
      <c r="M64" s="135" t="s">
        <v>16</v>
      </c>
      <c r="N64" s="136"/>
      <c r="O64" s="137"/>
      <c r="P64" s="138">
        <f aca="true" t="shared" si="78" ref="P64:V64">SUM(P61:P63)</f>
        <v>63.06923076923077</v>
      </c>
      <c r="Q64" s="138">
        <f t="shared" si="78"/>
        <v>271.59</v>
      </c>
      <c r="R64" s="138">
        <f t="shared" si="78"/>
        <v>275.49899999999997</v>
      </c>
      <c r="S64" s="138">
        <f t="shared" si="78"/>
        <v>145.46699999999998</v>
      </c>
      <c r="T64" s="138">
        <f t="shared" si="78"/>
        <v>146.66699999999997</v>
      </c>
      <c r="U64" s="138">
        <f t="shared" si="78"/>
        <v>146.66699999999997</v>
      </c>
      <c r="V64" s="139">
        <f t="shared" si="78"/>
        <v>143.427</v>
      </c>
      <c r="X64" s="135" t="s">
        <v>16</v>
      </c>
      <c r="Y64" s="136"/>
      <c r="Z64" s="137"/>
      <c r="AA64" s="138">
        <f aca="true" t="shared" si="79" ref="AA64:AG64">SUM(AA61:AA63)</f>
        <v>80.427</v>
      </c>
      <c r="AB64" s="138">
        <f t="shared" si="79"/>
        <v>309.903</v>
      </c>
      <c r="AC64" s="138">
        <f t="shared" si="79"/>
        <v>314.844</v>
      </c>
      <c r="AD64" s="138">
        <f t="shared" si="79"/>
        <v>322.58399999999995</v>
      </c>
      <c r="AE64" s="138">
        <f t="shared" si="79"/>
        <v>349.32599999999996</v>
      </c>
      <c r="AF64" s="138">
        <f t="shared" si="79"/>
        <v>357.066</v>
      </c>
      <c r="AG64" s="139">
        <f t="shared" si="79"/>
        <v>386.592</v>
      </c>
    </row>
    <row r="65" spans="1:33" ht="18.75">
      <c r="A65" s="2"/>
      <c r="B65" s="22" t="s">
        <v>17</v>
      </c>
      <c r="C65" s="9"/>
      <c r="D65" s="7"/>
      <c r="E65" s="134">
        <f aca="true" t="shared" si="80" ref="E65:K65">E52-E46-E64</f>
        <v>441.4846153846154</v>
      </c>
      <c r="F65" s="134">
        <f t="shared" si="80"/>
        <v>2359.975961538461</v>
      </c>
      <c r="G65" s="134">
        <f t="shared" si="80"/>
        <v>2450.538461538461</v>
      </c>
      <c r="H65" s="134">
        <f t="shared" si="80"/>
        <v>2467.9038461538457</v>
      </c>
      <c r="I65" s="134">
        <f t="shared" si="80"/>
        <v>2627.9278846153843</v>
      </c>
      <c r="J65" s="134">
        <f t="shared" si="80"/>
        <v>2710.413461538461</v>
      </c>
      <c r="K65" s="157">
        <f t="shared" si="80"/>
        <v>2940.4038461538457</v>
      </c>
      <c r="L65" s="2"/>
      <c r="M65" s="22" t="s">
        <v>17</v>
      </c>
      <c r="N65" s="9"/>
      <c r="O65" s="7"/>
      <c r="P65" s="134">
        <f aca="true" t="shared" si="81" ref="P65:V65">P52-P46-P64</f>
        <v>441.4846153846154</v>
      </c>
      <c r="Q65" s="134">
        <f t="shared" si="81"/>
        <v>2096.66</v>
      </c>
      <c r="R65" s="134">
        <f t="shared" si="81"/>
        <v>2125.326</v>
      </c>
      <c r="S65" s="134">
        <f t="shared" si="81"/>
        <v>1171.7579999999998</v>
      </c>
      <c r="T65" s="134">
        <f t="shared" si="81"/>
        <v>1180.558</v>
      </c>
      <c r="U65" s="134">
        <f t="shared" si="81"/>
        <v>1180.558</v>
      </c>
      <c r="V65" s="157">
        <f t="shared" si="81"/>
        <v>1156.798</v>
      </c>
      <c r="X65" s="22" t="s">
        <v>17</v>
      </c>
      <c r="Y65" s="9"/>
      <c r="Z65" s="7"/>
      <c r="AA65" s="134">
        <f aca="true" t="shared" si="82" ref="AA65:AG65">AA52-AA46-AA64</f>
        <v>589.798</v>
      </c>
      <c r="AB65" s="134">
        <f t="shared" si="82"/>
        <v>2377.6220000000003</v>
      </c>
      <c r="AC65" s="134">
        <f t="shared" si="82"/>
        <v>2413.8559999999998</v>
      </c>
      <c r="AD65" s="134">
        <f t="shared" si="82"/>
        <v>2470.616</v>
      </c>
      <c r="AE65" s="134">
        <f t="shared" si="82"/>
        <v>2666.7239999999997</v>
      </c>
      <c r="AF65" s="134">
        <f t="shared" si="82"/>
        <v>2723.484</v>
      </c>
      <c r="AG65" s="157">
        <f t="shared" si="82"/>
        <v>2940.008</v>
      </c>
    </row>
    <row r="66" spans="1:33" ht="19.5" thickBot="1">
      <c r="A66" s="2"/>
      <c r="B66" s="28" t="s">
        <v>59</v>
      </c>
      <c r="C66" s="104"/>
      <c r="D66" s="105"/>
      <c r="E66" s="160">
        <f aca="true" t="shared" si="83" ref="E66:K66">E65/E52</f>
        <v>0.42</v>
      </c>
      <c r="F66" s="160">
        <f t="shared" si="83"/>
        <v>0.4403769725569002</v>
      </c>
      <c r="G66" s="160">
        <f t="shared" si="83"/>
        <v>0.4395887953635987</v>
      </c>
      <c r="H66" s="160">
        <f t="shared" si="83"/>
        <v>0.43944457761188915</v>
      </c>
      <c r="I66" s="160">
        <f t="shared" si="83"/>
        <v>0.4382091921402631</v>
      </c>
      <c r="J66" s="160">
        <f t="shared" si="83"/>
        <v>0.43763177097079686</v>
      </c>
      <c r="K66" s="161">
        <f t="shared" si="83"/>
        <v>0.43619946937494647</v>
      </c>
      <c r="L66" s="2"/>
      <c r="M66" s="28" t="s">
        <v>59</v>
      </c>
      <c r="N66" s="104"/>
      <c r="O66" s="105"/>
      <c r="P66" s="160">
        <f aca="true" t="shared" si="84" ref="P66:V66">P65/P52</f>
        <v>0.42</v>
      </c>
      <c r="Q66" s="160">
        <f t="shared" si="84"/>
        <v>0.46319673036562464</v>
      </c>
      <c r="R66" s="160">
        <f t="shared" si="84"/>
        <v>0.46286759661559573</v>
      </c>
      <c r="S66" s="160">
        <f t="shared" si="84"/>
        <v>0.48330879168471197</v>
      </c>
      <c r="T66" s="160">
        <f t="shared" si="84"/>
        <v>0.48295444783080044</v>
      </c>
      <c r="U66" s="160">
        <f t="shared" si="84"/>
        <v>0.48295444783080044</v>
      </c>
      <c r="V66" s="161">
        <f t="shared" si="84"/>
        <v>0.48392478403647854</v>
      </c>
      <c r="X66" s="28" t="s">
        <v>59</v>
      </c>
      <c r="Y66" s="104"/>
      <c r="Z66" s="105"/>
      <c r="AA66" s="160">
        <f aca="true" t="shared" si="85" ref="AA66:AG66">AA65/AA52</f>
        <v>0.44</v>
      </c>
      <c r="AB66" s="160">
        <f t="shared" si="85"/>
        <v>0.46032894163657667</v>
      </c>
      <c r="AC66" s="160">
        <f t="shared" si="85"/>
        <v>0.46000990966955063</v>
      </c>
      <c r="AD66" s="160">
        <f t="shared" si="85"/>
        <v>0.45952979689011236</v>
      </c>
      <c r="AE66" s="160">
        <f t="shared" si="85"/>
        <v>0.45803472973669296</v>
      </c>
      <c r="AF66" s="160">
        <f t="shared" si="85"/>
        <v>0.4576437969451026</v>
      </c>
      <c r="AG66" s="161">
        <f t="shared" si="85"/>
        <v>0.45629625031040477</v>
      </c>
    </row>
    <row r="67" spans="1:33" ht="19.5" thickBot="1">
      <c r="A67" s="2"/>
      <c r="B67" s="162" t="s">
        <v>73</v>
      </c>
      <c r="C67" s="163"/>
      <c r="D67" s="164"/>
      <c r="E67" s="165">
        <f>E52*$D$42</f>
        <v>315.34615384615387</v>
      </c>
      <c r="F67" s="165">
        <f>F52*D$42</f>
        <v>1607.697115384615</v>
      </c>
      <c r="G67" s="165">
        <f>G52*$D$42</f>
        <v>1672.384615384615</v>
      </c>
      <c r="H67" s="165">
        <f>H52*$D$42</f>
        <v>1684.7884615384614</v>
      </c>
      <c r="I67" s="165">
        <f>I52*$D$42</f>
        <v>1799.091346153846</v>
      </c>
      <c r="J67" s="165">
        <f>J52*$D$42</f>
        <v>1858.009615384615</v>
      </c>
      <c r="K67" s="166">
        <f>K52*$D$42</f>
        <v>2022.2884615384614</v>
      </c>
      <c r="L67" s="2"/>
      <c r="M67" s="162" t="s">
        <v>73</v>
      </c>
      <c r="N67" s="163"/>
      <c r="O67" s="164"/>
      <c r="P67" s="165">
        <f>P52*$D$42</f>
        <v>315.34615384615387</v>
      </c>
      <c r="Q67" s="165">
        <f>Q52*O$42</f>
        <v>1357.95</v>
      </c>
      <c r="R67" s="165">
        <f>R52*$O$42</f>
        <v>1377.495</v>
      </c>
      <c r="S67" s="165">
        <f>S52*$O$42</f>
        <v>727.3349999999999</v>
      </c>
      <c r="T67" s="165">
        <f>T52*$O$42</f>
        <v>733.3349999999999</v>
      </c>
      <c r="U67" s="165">
        <f>U52*$O$42</f>
        <v>733.3349999999999</v>
      </c>
      <c r="V67" s="165">
        <f>V52*$O$42</f>
        <v>717.1349999999999</v>
      </c>
      <c r="X67" s="162" t="s">
        <v>73</v>
      </c>
      <c r="Y67" s="163"/>
      <c r="Z67" s="164"/>
      <c r="AA67" s="165">
        <f>AA52*$Z$42</f>
        <v>402.135</v>
      </c>
      <c r="AB67" s="165">
        <f aca="true" t="shared" si="86" ref="AB67:AG67">AB52*$Z$42</f>
        <v>1549.515</v>
      </c>
      <c r="AC67" s="165">
        <f t="shared" si="86"/>
        <v>1574.2199999999998</v>
      </c>
      <c r="AD67" s="165">
        <f t="shared" si="86"/>
        <v>1612.9199999999998</v>
      </c>
      <c r="AE67" s="165">
        <f t="shared" si="86"/>
        <v>1746.6299999999999</v>
      </c>
      <c r="AF67" s="165">
        <f t="shared" si="86"/>
        <v>1785.3299999999997</v>
      </c>
      <c r="AG67" s="165">
        <f t="shared" si="86"/>
        <v>1932.9599999999998</v>
      </c>
    </row>
    <row r="68" spans="1:33" ht="18.75">
      <c r="A68" s="2"/>
      <c r="B68" s="140" t="s">
        <v>60</v>
      </c>
      <c r="C68" s="142"/>
      <c r="D68" s="143"/>
      <c r="E68" s="144">
        <f aca="true" t="shared" si="87" ref="E68:K68">E65-E67</f>
        <v>126.13846153846151</v>
      </c>
      <c r="F68" s="144">
        <f t="shared" si="87"/>
        <v>752.278846153846</v>
      </c>
      <c r="G68" s="144">
        <f t="shared" si="87"/>
        <v>778.153846153846</v>
      </c>
      <c r="H68" s="144">
        <f t="shared" si="87"/>
        <v>783.1153846153843</v>
      </c>
      <c r="I68" s="144">
        <f t="shared" si="87"/>
        <v>828.8365384615383</v>
      </c>
      <c r="J68" s="144">
        <f t="shared" si="87"/>
        <v>852.403846153846</v>
      </c>
      <c r="K68" s="145">
        <f t="shared" si="87"/>
        <v>918.1153846153843</v>
      </c>
      <c r="L68" s="2"/>
      <c r="M68" s="140" t="s">
        <v>60</v>
      </c>
      <c r="N68" s="142"/>
      <c r="O68" s="143"/>
      <c r="P68" s="144">
        <f aca="true" t="shared" si="88" ref="P68:V68">P65-P67</f>
        <v>126.13846153846151</v>
      </c>
      <c r="Q68" s="144">
        <f t="shared" si="88"/>
        <v>738.7099999999998</v>
      </c>
      <c r="R68" s="144">
        <f t="shared" si="88"/>
        <v>747.8310000000001</v>
      </c>
      <c r="S68" s="144">
        <f t="shared" si="88"/>
        <v>444.4229999999999</v>
      </c>
      <c r="T68" s="144">
        <f t="shared" si="88"/>
        <v>447.22300000000007</v>
      </c>
      <c r="U68" s="144">
        <f t="shared" si="88"/>
        <v>447.22300000000007</v>
      </c>
      <c r="V68" s="145">
        <f t="shared" si="88"/>
        <v>439.6630000000001</v>
      </c>
      <c r="X68" s="140" t="s">
        <v>60</v>
      </c>
      <c r="Y68" s="142"/>
      <c r="Z68" s="143"/>
      <c r="AA68" s="144">
        <f aca="true" t="shared" si="89" ref="AA68:AG68">AA65-AA67</f>
        <v>187.663</v>
      </c>
      <c r="AB68" s="144">
        <f t="shared" si="89"/>
        <v>828.1070000000002</v>
      </c>
      <c r="AC68" s="144">
        <f t="shared" si="89"/>
        <v>839.636</v>
      </c>
      <c r="AD68" s="144">
        <f t="shared" si="89"/>
        <v>857.6960000000001</v>
      </c>
      <c r="AE68" s="144">
        <f t="shared" si="89"/>
        <v>920.0939999999998</v>
      </c>
      <c r="AF68" s="144">
        <f t="shared" si="89"/>
        <v>938.1540000000002</v>
      </c>
      <c r="AG68" s="145">
        <f t="shared" si="89"/>
        <v>1007.048</v>
      </c>
    </row>
    <row r="69" spans="1:33" ht="18.75">
      <c r="A69" s="2"/>
      <c r="B69" s="141" t="s">
        <v>61</v>
      </c>
      <c r="C69" s="146"/>
      <c r="D69" s="147"/>
      <c r="E69" s="148">
        <f>+E68/E52</f>
        <v>0.11999999999999997</v>
      </c>
      <c r="F69" s="148">
        <f aca="true" t="shared" si="90" ref="F69:K69">+F68/F52</f>
        <v>0.14037697255690024</v>
      </c>
      <c r="G69" s="148">
        <f t="shared" si="90"/>
        <v>0.13958879536359872</v>
      </c>
      <c r="H69" s="148">
        <f t="shared" si="90"/>
        <v>0.13944457761188914</v>
      </c>
      <c r="I69" s="148">
        <f t="shared" si="90"/>
        <v>0.13820919214026312</v>
      </c>
      <c r="J69" s="148">
        <f t="shared" si="90"/>
        <v>0.1376317709707969</v>
      </c>
      <c r="K69" s="149">
        <f t="shared" si="90"/>
        <v>0.13619946937494648</v>
      </c>
      <c r="L69" s="2"/>
      <c r="M69" s="141" t="s">
        <v>61</v>
      </c>
      <c r="N69" s="146"/>
      <c r="O69" s="147"/>
      <c r="P69" s="148">
        <f aca="true" t="shared" si="91" ref="P69:V69">+P68/P52</f>
        <v>0.11999999999999997</v>
      </c>
      <c r="Q69" s="148">
        <f t="shared" si="91"/>
        <v>0.16319673036562463</v>
      </c>
      <c r="R69" s="148">
        <f t="shared" si="91"/>
        <v>0.16286759661559574</v>
      </c>
      <c r="S69" s="148">
        <f t="shared" si="91"/>
        <v>0.18330879168471195</v>
      </c>
      <c r="T69" s="148">
        <f t="shared" si="91"/>
        <v>0.18295444783080042</v>
      </c>
      <c r="U69" s="148">
        <f t="shared" si="91"/>
        <v>0.18295444783080042</v>
      </c>
      <c r="V69" s="149">
        <f t="shared" si="91"/>
        <v>0.18392478403647855</v>
      </c>
      <c r="X69" s="141" t="s">
        <v>61</v>
      </c>
      <c r="Y69" s="146"/>
      <c r="Z69" s="147"/>
      <c r="AA69" s="148">
        <f aca="true" t="shared" si="92" ref="AA69:AG69">+AA68/AA52</f>
        <v>0.14</v>
      </c>
      <c r="AB69" s="148">
        <f t="shared" si="92"/>
        <v>0.16032894163657663</v>
      </c>
      <c r="AC69" s="148">
        <f t="shared" si="92"/>
        <v>0.16000990966955064</v>
      </c>
      <c r="AD69" s="148">
        <f t="shared" si="92"/>
        <v>0.15952979689011237</v>
      </c>
      <c r="AE69" s="148">
        <f t="shared" si="92"/>
        <v>0.15803472973669294</v>
      </c>
      <c r="AF69" s="148">
        <f t="shared" si="92"/>
        <v>0.15764379694510264</v>
      </c>
      <c r="AG69" s="149">
        <f t="shared" si="92"/>
        <v>0.15629625031040478</v>
      </c>
    </row>
    <row r="70" spans="1:33" ht="18.75">
      <c r="A70" s="2"/>
      <c r="B70" s="141" t="s">
        <v>31</v>
      </c>
      <c r="C70" s="146"/>
      <c r="D70" s="147"/>
      <c r="E70" s="148">
        <f>(+E53-E46-(E53*($D$43+0.01))-E61-E63-(E53*$D$42))/E53</f>
        <v>0.16600000000000004</v>
      </c>
      <c r="F70" s="148">
        <f aca="true" t="shared" si="93" ref="F70:K70">(+F53-F46-(F53*($D$43+0.01))-F61-F63-(F53*$D$42))/F53</f>
        <v>0.18535812392905518</v>
      </c>
      <c r="G70" s="148">
        <f t="shared" si="93"/>
        <v>0.18460935559541883</v>
      </c>
      <c r="H70" s="148">
        <f t="shared" si="93"/>
        <v>0.18447234873129476</v>
      </c>
      <c r="I70" s="148">
        <f t="shared" si="93"/>
        <v>0.18329873253324994</v>
      </c>
      <c r="J70" s="148">
        <f t="shared" si="93"/>
        <v>0.18275018242225707</v>
      </c>
      <c r="K70" s="149">
        <f t="shared" si="93"/>
        <v>0.18138949590619918</v>
      </c>
      <c r="L70" s="2"/>
      <c r="M70" s="141" t="s">
        <v>31</v>
      </c>
      <c r="N70" s="146"/>
      <c r="O70" s="147"/>
      <c r="P70" s="148">
        <f>(+P53-P46-(P53*($D$43+0.01))-P61-P63-(P53*$D$42))/P53</f>
        <v>0.16600000000000004</v>
      </c>
      <c r="Q70" s="148">
        <f aca="true" t="shared" si="94" ref="Q70:V70">(+Q53-Q46-(Q53*($D$43+0.01))-Q61-Q63-(Q53*$D$42))/Q53</f>
        <v>0.20703689384734345</v>
      </c>
      <c r="R70" s="148">
        <f t="shared" si="94"/>
        <v>0.206724216784816</v>
      </c>
      <c r="S70" s="148">
        <f t="shared" si="94"/>
        <v>0.22614335210047645</v>
      </c>
      <c r="T70" s="148">
        <f t="shared" si="94"/>
        <v>0.22580672543926034</v>
      </c>
      <c r="U70" s="148">
        <f t="shared" si="94"/>
        <v>0.22580672543926034</v>
      </c>
      <c r="V70" s="149">
        <f t="shared" si="94"/>
        <v>0.22672854483465457</v>
      </c>
      <c r="X70" s="141" t="s">
        <v>31</v>
      </c>
      <c r="Y70" s="146"/>
      <c r="Z70" s="147"/>
      <c r="AA70" s="148">
        <f>(+AA53-AA46-(AA53*($D$43+0.01))-AA61-AA63-(AA53*$D$42))/AA53</f>
        <v>0.18500000000000003</v>
      </c>
      <c r="AB70" s="148">
        <f aca="true" t="shared" si="95" ref="AB70:AG70">(+AB53-AB46-(AB53*($D$43+0.01))-AB61-AB63-(AB53*$D$42))/AB53</f>
        <v>0.2043124945547478</v>
      </c>
      <c r="AC70" s="148">
        <f t="shared" si="95"/>
        <v>0.2040094141860731</v>
      </c>
      <c r="AD70" s="148">
        <f t="shared" si="95"/>
        <v>0.20355330704560673</v>
      </c>
      <c r="AE70" s="148">
        <f t="shared" si="95"/>
        <v>0.2021329932498583</v>
      </c>
      <c r="AF70" s="148">
        <f t="shared" si="95"/>
        <v>0.20176160709784752</v>
      </c>
      <c r="AG70" s="149">
        <f t="shared" si="95"/>
        <v>0.20048143779488456</v>
      </c>
    </row>
    <row r="71" spans="1:33" ht="18.75">
      <c r="A71" s="2"/>
      <c r="B71" s="141" t="s">
        <v>32</v>
      </c>
      <c r="C71" s="146"/>
      <c r="D71" s="147"/>
      <c r="E71" s="148">
        <f>(+E54-E46-(E54*($D$43+0.02))-E61-E63-(E54*$D$42))/E54</f>
        <v>0.1807000000000001</v>
      </c>
      <c r="F71" s="148">
        <f aca="true" t="shared" si="96" ref="F71:K71">(+F54-F46-(F54*($D$43+0.02))-F61-F63-(F54*$D$42))/F54</f>
        <v>0.19909021773260246</v>
      </c>
      <c r="G71" s="148">
        <f t="shared" si="96"/>
        <v>0.1983788878156479</v>
      </c>
      <c r="H71" s="148">
        <f t="shared" si="96"/>
        <v>0.19824873129473006</v>
      </c>
      <c r="I71" s="148">
        <f t="shared" si="96"/>
        <v>0.19713379590658742</v>
      </c>
      <c r="J71" s="148">
        <f t="shared" si="96"/>
        <v>0.19661267330114418</v>
      </c>
      <c r="K71" s="149">
        <f t="shared" si="96"/>
        <v>0.19532002111088928</v>
      </c>
      <c r="L71" s="2"/>
      <c r="M71" s="141" t="s">
        <v>32</v>
      </c>
      <c r="N71" s="146"/>
      <c r="O71" s="147"/>
      <c r="P71" s="148">
        <f>(+P54-P46-(P54*($D$43+0.02))-P61-P63-(P54*$D$42))/P54</f>
        <v>0.1807000000000001</v>
      </c>
      <c r="Q71" s="148">
        <f aca="true" t="shared" si="97" ref="Q71:V71">(+Q54-Q46-(Q54*($D$43+0.02))-Q61-Q63-(Q54*$D$42))/Q54</f>
        <v>0.2196850491549763</v>
      </c>
      <c r="R71" s="148">
        <f t="shared" si="97"/>
        <v>0.2193880059455752</v>
      </c>
      <c r="S71" s="148">
        <f t="shared" si="97"/>
        <v>0.23783618449545268</v>
      </c>
      <c r="T71" s="148">
        <f t="shared" si="97"/>
        <v>0.23751638916729736</v>
      </c>
      <c r="U71" s="148">
        <f t="shared" si="97"/>
        <v>0.23751638916729736</v>
      </c>
      <c r="V71" s="149">
        <f t="shared" si="97"/>
        <v>0.23839211759292186</v>
      </c>
      <c r="X71" s="141" t="s">
        <v>32</v>
      </c>
      <c r="Y71" s="146"/>
      <c r="Z71" s="147"/>
      <c r="AA71" s="148">
        <f>(+AA54-AA46-(AA54*($D$43+0.02))-AA61-AA63-(AA54*$D$42))/AA54</f>
        <v>0.19875000000000007</v>
      </c>
      <c r="AB71" s="148">
        <f aca="true" t="shared" si="98" ref="AB71:AG71">(+AB54-AB46-(AB54*($D$43+0.02))-AB61-AB63-(AB54*$D$42))/AB54</f>
        <v>0.21709686982701049</v>
      </c>
      <c r="AC71" s="148">
        <f t="shared" si="98"/>
        <v>0.21680894347676946</v>
      </c>
      <c r="AD71" s="148">
        <f t="shared" si="98"/>
        <v>0.21637564169332646</v>
      </c>
      <c r="AE71" s="148">
        <f t="shared" si="98"/>
        <v>0.21502634358736544</v>
      </c>
      <c r="AF71" s="148">
        <f t="shared" si="98"/>
        <v>0.21467352674295517</v>
      </c>
      <c r="AG71" s="149">
        <f t="shared" si="98"/>
        <v>0.21345736590514036</v>
      </c>
    </row>
    <row r="72" spans="1:33" ht="19.5" thickBot="1">
      <c r="A72" s="2"/>
      <c r="B72" s="130" t="s">
        <v>33</v>
      </c>
      <c r="C72" s="126"/>
      <c r="D72" s="127"/>
      <c r="E72" s="150">
        <f>(+E55-E46-(E55*($D$43+0.03))-E61-E63-(E55*$D$42))/E55</f>
        <v>0.19416500000000014</v>
      </c>
      <c r="F72" s="150">
        <f aca="true" t="shared" si="99" ref="F72:K72">(+F55-F46-(F55*($D$43+0.03))-F61-F63-(F55*$D$42))/F55</f>
        <v>0.21163570684597244</v>
      </c>
      <c r="G72" s="150">
        <f t="shared" si="99"/>
        <v>0.21095994342486543</v>
      </c>
      <c r="H72" s="150">
        <f t="shared" si="99"/>
        <v>0.21083629472999355</v>
      </c>
      <c r="I72" s="150">
        <f t="shared" si="99"/>
        <v>0.2097771061112581</v>
      </c>
      <c r="J72" s="150">
        <f t="shared" si="99"/>
        <v>0.20928203963608705</v>
      </c>
      <c r="K72" s="151">
        <f t="shared" si="99"/>
        <v>0.20805402005534487</v>
      </c>
      <c r="L72" s="2"/>
      <c r="M72" s="130" t="s">
        <v>33</v>
      </c>
      <c r="N72" s="126"/>
      <c r="O72" s="127"/>
      <c r="P72" s="150">
        <f>(+P55-P46-(P55*($D$43+0.03))-P61-P63-(P55*$D$42))/P55</f>
        <v>0.19416500000000014</v>
      </c>
      <c r="Q72" s="150">
        <f aca="true" t="shared" si="100" ref="Q72:V72">(+Q55-Q46-(Q55*($D$43+0.03))-Q61-Q63-(Q55*$D$42))/Q55</f>
        <v>0.2312007966972274</v>
      </c>
      <c r="R72" s="150">
        <f t="shared" si="100"/>
        <v>0.23091860564829647</v>
      </c>
      <c r="S72" s="150">
        <f t="shared" si="100"/>
        <v>0.2484443752706801</v>
      </c>
      <c r="T72" s="150">
        <f t="shared" si="100"/>
        <v>0.24814056970893253</v>
      </c>
      <c r="U72" s="150">
        <f t="shared" si="100"/>
        <v>0.24814056970893253</v>
      </c>
      <c r="V72" s="151">
        <f t="shared" si="100"/>
        <v>0.2489725117132758</v>
      </c>
      <c r="X72" s="130" t="s">
        <v>33</v>
      </c>
      <c r="Y72" s="126"/>
      <c r="Z72" s="127"/>
      <c r="AA72" s="150">
        <f>(+AA55-AA46-(AA55*($D$43+0.03))-AA61-AA63-(AA55*$D$42))/AA55</f>
        <v>0.21131250000000007</v>
      </c>
      <c r="AB72" s="150">
        <f aca="true" t="shared" si="101" ref="AB72:AG72">(+AB55-AB46-(AB55*($D$43+0.03))-AB61-AB63-(AB55*$D$42))/AB55</f>
        <v>0.22874202633565996</v>
      </c>
      <c r="AC72" s="150">
        <f t="shared" si="101"/>
        <v>0.228468496302931</v>
      </c>
      <c r="AD72" s="150">
        <f t="shared" si="101"/>
        <v>0.2280568596086601</v>
      </c>
      <c r="AE72" s="150">
        <f t="shared" si="101"/>
        <v>0.22677502640799718</v>
      </c>
      <c r="AF72" s="150">
        <f t="shared" si="101"/>
        <v>0.22643985040580744</v>
      </c>
      <c r="AG72" s="151">
        <f t="shared" si="101"/>
        <v>0.22528449760988328</v>
      </c>
    </row>
    <row r="73" spans="1:12" ht="12.75">
      <c r="A73" s="2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</row>
  </sheetData>
  <sheetProtection/>
  <mergeCells count="3">
    <mergeCell ref="B4:K4"/>
    <mergeCell ref="M4:V4"/>
    <mergeCell ref="X4:A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2" max="2" width="70.140625" style="0" customWidth="1"/>
    <col min="3" max="3" width="8.421875" style="0" bestFit="1" customWidth="1"/>
    <col min="4" max="4" width="10.28125" style="0" customWidth="1"/>
    <col min="5" max="5" width="12.28125" style="0" hidden="1" customWidth="1"/>
    <col min="6" max="7" width="12.28125" style="0" customWidth="1"/>
    <col min="8" max="8" width="12.28125" style="0" bestFit="1" customWidth="1"/>
    <col min="9" max="9" width="12.28125" style="0" customWidth="1"/>
    <col min="10" max="11" width="12.28125" style="0" bestFit="1" customWidth="1"/>
  </cols>
  <sheetData>
    <row r="1" spans="1:12" ht="20.25">
      <c r="A1" s="2"/>
      <c r="B1" s="173" t="s">
        <v>97</v>
      </c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2"/>
      <c r="B2" s="222" t="s">
        <v>14</v>
      </c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1:12" ht="27" thickBot="1">
      <c r="A4" s="2"/>
      <c r="B4" s="377" t="s">
        <v>88</v>
      </c>
      <c r="C4" s="377"/>
      <c r="D4" s="377"/>
      <c r="E4" s="377"/>
      <c r="F4" s="377"/>
      <c r="G4" s="377"/>
      <c r="H4" s="377"/>
      <c r="I4" s="377"/>
      <c r="J4" s="377"/>
      <c r="K4" s="377"/>
      <c r="L4" s="2"/>
    </row>
    <row r="5" spans="1:12" ht="19.5" thickBot="1">
      <c r="A5" s="5"/>
      <c r="B5" s="38"/>
      <c r="C5" s="49" t="s">
        <v>57</v>
      </c>
      <c r="D5" s="50" t="s">
        <v>58</v>
      </c>
      <c r="E5" s="51" t="s">
        <v>50</v>
      </c>
      <c r="F5" s="52" t="s">
        <v>51</v>
      </c>
      <c r="G5" s="221" t="s">
        <v>53</v>
      </c>
      <c r="H5" s="221" t="s">
        <v>52</v>
      </c>
      <c r="I5" s="52" t="s">
        <v>54</v>
      </c>
      <c r="J5" s="52" t="s">
        <v>55</v>
      </c>
      <c r="K5" s="53" t="s">
        <v>56</v>
      </c>
      <c r="L5" s="5"/>
    </row>
    <row r="6" spans="1:12" ht="18.75">
      <c r="A6" s="2"/>
      <c r="B6" s="35" t="s">
        <v>84</v>
      </c>
      <c r="C6" s="185"/>
      <c r="D6" s="186"/>
      <c r="E6" s="187">
        <v>0</v>
      </c>
      <c r="F6" s="187">
        <v>535</v>
      </c>
      <c r="G6" s="187">
        <v>565</v>
      </c>
      <c r="H6" s="187">
        <v>625</v>
      </c>
      <c r="I6" s="187">
        <v>770</v>
      </c>
      <c r="J6" s="187">
        <v>830</v>
      </c>
      <c r="K6" s="188">
        <v>985</v>
      </c>
      <c r="L6" s="2"/>
    </row>
    <row r="7" spans="1:12" ht="18.75">
      <c r="A7" s="2"/>
      <c r="B7" s="21" t="s">
        <v>28</v>
      </c>
      <c r="C7" s="189"/>
      <c r="D7" s="11"/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190">
        <v>0</v>
      </c>
      <c r="L7" s="2"/>
    </row>
    <row r="8" spans="1:12" ht="18.75">
      <c r="A8" s="2"/>
      <c r="B8" s="21" t="s">
        <v>87</v>
      </c>
      <c r="C8" s="189"/>
      <c r="D8" s="10"/>
      <c r="E8" s="47">
        <v>0</v>
      </c>
      <c r="F8" s="47">
        <v>644</v>
      </c>
      <c r="G8" s="47">
        <v>673</v>
      </c>
      <c r="H8" s="47">
        <v>673</v>
      </c>
      <c r="I8" s="47">
        <v>700</v>
      </c>
      <c r="J8" s="47">
        <v>700</v>
      </c>
      <c r="K8" s="190">
        <v>736</v>
      </c>
      <c r="L8" s="2"/>
    </row>
    <row r="9" spans="1:12" ht="19.5" thickBot="1">
      <c r="A9" s="2"/>
      <c r="B9" s="39" t="s">
        <v>38</v>
      </c>
      <c r="C9" s="191"/>
      <c r="D9" s="41"/>
      <c r="E9" s="48">
        <v>0</v>
      </c>
      <c r="F9" s="48">
        <v>146</v>
      </c>
      <c r="G9" s="48">
        <v>164</v>
      </c>
      <c r="H9" s="48">
        <v>189</v>
      </c>
      <c r="I9" s="48">
        <v>197</v>
      </c>
      <c r="J9" s="48">
        <v>231</v>
      </c>
      <c r="K9" s="192">
        <v>256</v>
      </c>
      <c r="L9" s="2"/>
    </row>
    <row r="10" spans="1:12" ht="19.5" thickBot="1">
      <c r="A10" s="2"/>
      <c r="B10" s="45" t="s">
        <v>39</v>
      </c>
      <c r="C10" s="193"/>
      <c r="D10" s="34"/>
      <c r="E10" s="43">
        <f>SUM(E6:E9)</f>
        <v>0</v>
      </c>
      <c r="F10" s="43">
        <f aca="true" t="shared" si="0" ref="F10:K10">SUM(F6:F9)</f>
        <v>1325</v>
      </c>
      <c r="G10" s="43">
        <f t="shared" si="0"/>
        <v>1402</v>
      </c>
      <c r="H10" s="43">
        <f t="shared" si="0"/>
        <v>1487</v>
      </c>
      <c r="I10" s="43">
        <f t="shared" si="0"/>
        <v>1667</v>
      </c>
      <c r="J10" s="43">
        <f t="shared" si="0"/>
        <v>1761</v>
      </c>
      <c r="K10" s="44">
        <f t="shared" si="0"/>
        <v>1977</v>
      </c>
      <c r="L10" s="2"/>
    </row>
    <row r="11" spans="1:12" ht="18.75">
      <c r="A11" s="2"/>
      <c r="B11" s="35" t="s">
        <v>94</v>
      </c>
      <c r="C11" s="194"/>
      <c r="D11" s="42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195">
        <v>0</v>
      </c>
      <c r="L11" s="2"/>
    </row>
    <row r="12" spans="1:12" ht="19.5" thickBot="1">
      <c r="A12" s="2"/>
      <c r="B12" s="39" t="s">
        <v>96</v>
      </c>
      <c r="C12" s="191"/>
      <c r="D12" s="76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192">
        <v>0</v>
      </c>
      <c r="L12" s="2"/>
    </row>
    <row r="13" spans="1:12" ht="19.5" thickBot="1">
      <c r="A13" s="2"/>
      <c r="B13" s="77" t="s">
        <v>65</v>
      </c>
      <c r="C13" s="196"/>
      <c r="D13" s="79">
        <v>0.075</v>
      </c>
      <c r="E13" s="80">
        <f>+$D$13*SUM(E10:E12)</f>
        <v>0</v>
      </c>
      <c r="F13" s="80">
        <f aca="true" t="shared" si="1" ref="F13:K13">+$D$13*SUM(F10:F12)</f>
        <v>99.375</v>
      </c>
      <c r="G13" s="80">
        <f t="shared" si="1"/>
        <v>105.14999999999999</v>
      </c>
      <c r="H13" s="80">
        <f t="shared" si="1"/>
        <v>111.52499999999999</v>
      </c>
      <c r="I13" s="80">
        <f t="shared" si="1"/>
        <v>125.02499999999999</v>
      </c>
      <c r="J13" s="80">
        <f t="shared" si="1"/>
        <v>132.075</v>
      </c>
      <c r="K13" s="81">
        <f t="shared" si="1"/>
        <v>148.275</v>
      </c>
      <c r="L13" s="2"/>
    </row>
    <row r="14" spans="1:12" ht="20.25" thickBot="1">
      <c r="A14" s="2"/>
      <c r="B14" s="54" t="s">
        <v>66</v>
      </c>
      <c r="C14" s="197"/>
      <c r="D14" s="57"/>
      <c r="E14" s="58">
        <f>SUM(E10:E13)</f>
        <v>0</v>
      </c>
      <c r="F14" s="58">
        <f aca="true" t="shared" si="2" ref="F14:K14">SUM(F10:F13)</f>
        <v>1424.375</v>
      </c>
      <c r="G14" s="58">
        <f t="shared" si="2"/>
        <v>1507.15</v>
      </c>
      <c r="H14" s="58">
        <f t="shared" si="2"/>
        <v>1598.525</v>
      </c>
      <c r="I14" s="58">
        <f t="shared" si="2"/>
        <v>1792.025</v>
      </c>
      <c r="J14" s="58">
        <f t="shared" si="2"/>
        <v>1893.075</v>
      </c>
      <c r="K14" s="59">
        <f t="shared" si="2"/>
        <v>2125.275</v>
      </c>
      <c r="L14" s="2"/>
    </row>
    <row r="15" spans="1:12" ht="19.5" thickBot="1">
      <c r="A15" s="2"/>
      <c r="B15" s="24"/>
      <c r="C15" s="198"/>
      <c r="D15" s="199"/>
      <c r="E15" s="200"/>
      <c r="F15" s="200"/>
      <c r="G15" s="200"/>
      <c r="H15" s="200"/>
      <c r="I15" s="200"/>
      <c r="J15" s="200"/>
      <c r="K15" s="201"/>
      <c r="L15" s="2"/>
    </row>
    <row r="16" spans="1:12" ht="18.75">
      <c r="A16" s="2"/>
      <c r="B16" s="25" t="s">
        <v>42</v>
      </c>
      <c r="C16" s="189"/>
      <c r="D16" s="11"/>
      <c r="E16" s="60">
        <v>0</v>
      </c>
      <c r="F16" s="60">
        <v>50</v>
      </c>
      <c r="G16" s="60">
        <v>50</v>
      </c>
      <c r="H16" s="60">
        <v>50</v>
      </c>
      <c r="I16" s="60">
        <v>50</v>
      </c>
      <c r="J16" s="60">
        <v>50</v>
      </c>
      <c r="K16" s="202">
        <v>50</v>
      </c>
      <c r="L16" s="2"/>
    </row>
    <row r="17" spans="1:12" ht="18.75">
      <c r="A17" s="2"/>
      <c r="B17" s="21" t="s">
        <v>0</v>
      </c>
      <c r="C17" s="189"/>
      <c r="D17" s="11"/>
      <c r="E17" s="60">
        <v>0</v>
      </c>
      <c r="F17" s="60">
        <v>35</v>
      </c>
      <c r="G17" s="60">
        <v>35</v>
      </c>
      <c r="H17" s="60">
        <v>35</v>
      </c>
      <c r="I17" s="60">
        <v>35</v>
      </c>
      <c r="J17" s="60">
        <v>35</v>
      </c>
      <c r="K17" s="202">
        <v>35</v>
      </c>
      <c r="L17" s="2"/>
    </row>
    <row r="18" spans="1:12" ht="18.75">
      <c r="A18" s="2"/>
      <c r="B18" s="22" t="s">
        <v>6</v>
      </c>
      <c r="C18" s="203"/>
      <c r="D18" s="16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204">
        <v>0</v>
      </c>
      <c r="L18" s="2"/>
    </row>
    <row r="19" spans="1:12" ht="18.75">
      <c r="A19" s="2"/>
      <c r="B19" s="21" t="s">
        <v>22</v>
      </c>
      <c r="C19" s="189"/>
      <c r="D19" s="11"/>
      <c r="E19" s="60">
        <v>0</v>
      </c>
      <c r="F19" s="60">
        <v>20</v>
      </c>
      <c r="G19" s="60">
        <v>20</v>
      </c>
      <c r="H19" s="60">
        <v>20</v>
      </c>
      <c r="I19" s="60">
        <v>20</v>
      </c>
      <c r="J19" s="60">
        <v>20</v>
      </c>
      <c r="K19" s="202">
        <v>20</v>
      </c>
      <c r="L19" s="2"/>
    </row>
    <row r="20" spans="1:12" ht="18.75">
      <c r="A20" s="2"/>
      <c r="B20" s="21" t="s">
        <v>23</v>
      </c>
      <c r="C20" s="189"/>
      <c r="D20" s="11"/>
      <c r="E20" s="60">
        <v>0</v>
      </c>
      <c r="F20" s="60">
        <v>25</v>
      </c>
      <c r="G20" s="60">
        <v>25</v>
      </c>
      <c r="H20" s="60">
        <v>25</v>
      </c>
      <c r="I20" s="60">
        <v>25</v>
      </c>
      <c r="J20" s="60">
        <v>25</v>
      </c>
      <c r="K20" s="202">
        <v>25</v>
      </c>
      <c r="L20" s="2"/>
    </row>
    <row r="21" spans="1:12" ht="18.75">
      <c r="A21" s="2"/>
      <c r="B21" s="21" t="s">
        <v>41</v>
      </c>
      <c r="C21" s="189"/>
      <c r="D21" s="11"/>
      <c r="E21" s="60">
        <v>0</v>
      </c>
      <c r="F21" s="60">
        <v>25</v>
      </c>
      <c r="G21" s="60">
        <v>25</v>
      </c>
      <c r="H21" s="60">
        <v>25</v>
      </c>
      <c r="I21" s="60">
        <v>25</v>
      </c>
      <c r="J21" s="60">
        <v>25</v>
      </c>
      <c r="K21" s="202">
        <v>25</v>
      </c>
      <c r="L21" s="2"/>
    </row>
    <row r="22" spans="1:12" ht="18.75">
      <c r="A22" s="2"/>
      <c r="B22" s="21" t="s">
        <v>19</v>
      </c>
      <c r="C22" s="189"/>
      <c r="D22" s="11"/>
      <c r="E22" s="60">
        <v>0</v>
      </c>
      <c r="F22" s="60">
        <v>45</v>
      </c>
      <c r="G22" s="60">
        <v>45</v>
      </c>
      <c r="H22" s="60">
        <v>45</v>
      </c>
      <c r="I22" s="60">
        <v>45</v>
      </c>
      <c r="J22" s="60">
        <v>45</v>
      </c>
      <c r="K22" s="202">
        <v>45</v>
      </c>
      <c r="L22" s="2"/>
    </row>
    <row r="23" spans="1:12" ht="18.75">
      <c r="A23" s="2"/>
      <c r="B23" s="21" t="s">
        <v>93</v>
      </c>
      <c r="C23" s="189"/>
      <c r="D23" s="11"/>
      <c r="E23" s="60">
        <v>0</v>
      </c>
      <c r="F23" s="60">
        <v>20</v>
      </c>
      <c r="G23" s="60">
        <v>20</v>
      </c>
      <c r="H23" s="60">
        <v>20</v>
      </c>
      <c r="I23" s="60">
        <v>20</v>
      </c>
      <c r="J23" s="60">
        <v>20</v>
      </c>
      <c r="K23" s="202">
        <v>20</v>
      </c>
      <c r="L23" s="2"/>
    </row>
    <row r="24" spans="1:12" ht="19.5" thickBot="1">
      <c r="A24" s="2"/>
      <c r="B24" s="30" t="s">
        <v>24</v>
      </c>
      <c r="C24" s="205"/>
      <c r="D24" s="67"/>
      <c r="E24" s="68">
        <v>0</v>
      </c>
      <c r="F24" s="68">
        <v>60</v>
      </c>
      <c r="G24" s="68">
        <v>60</v>
      </c>
      <c r="H24" s="68">
        <v>60</v>
      </c>
      <c r="I24" s="68">
        <v>60</v>
      </c>
      <c r="J24" s="68">
        <v>60</v>
      </c>
      <c r="K24" s="206">
        <v>60</v>
      </c>
      <c r="L24" s="2"/>
    </row>
    <row r="25" spans="1:12" ht="19.5" thickBot="1">
      <c r="A25" s="2"/>
      <c r="B25" s="32" t="s">
        <v>20</v>
      </c>
      <c r="C25" s="193"/>
      <c r="D25" s="34"/>
      <c r="E25" s="73">
        <f>SUM(E16:E24)</f>
        <v>0</v>
      </c>
      <c r="F25" s="73">
        <f aca="true" t="shared" si="3" ref="F25:K25">SUM(F16:F24)</f>
        <v>280</v>
      </c>
      <c r="G25" s="73">
        <f t="shared" si="3"/>
        <v>280</v>
      </c>
      <c r="H25" s="73">
        <f t="shared" si="3"/>
        <v>280</v>
      </c>
      <c r="I25" s="73">
        <f t="shared" si="3"/>
        <v>280</v>
      </c>
      <c r="J25" s="73">
        <f t="shared" si="3"/>
        <v>280</v>
      </c>
      <c r="K25" s="74">
        <f t="shared" si="3"/>
        <v>280</v>
      </c>
      <c r="L25" s="2"/>
    </row>
    <row r="26" spans="1:12" ht="19.5" thickBot="1">
      <c r="A26" s="2"/>
      <c r="B26" s="69" t="s">
        <v>65</v>
      </c>
      <c r="C26" s="207"/>
      <c r="D26" s="71">
        <v>0.075</v>
      </c>
      <c r="E26" s="72">
        <f>+$D$26*SUM(E16:E24)</f>
        <v>0</v>
      </c>
      <c r="F26" s="72">
        <f aca="true" t="shared" si="4" ref="F26:K26">+$D$26*SUM(F16:F24)</f>
        <v>21</v>
      </c>
      <c r="G26" s="72">
        <f t="shared" si="4"/>
        <v>21</v>
      </c>
      <c r="H26" s="72">
        <f t="shared" si="4"/>
        <v>21</v>
      </c>
      <c r="I26" s="72">
        <f t="shared" si="4"/>
        <v>21</v>
      </c>
      <c r="J26" s="72">
        <f t="shared" si="4"/>
        <v>21</v>
      </c>
      <c r="K26" s="75">
        <f t="shared" si="4"/>
        <v>21</v>
      </c>
      <c r="L26" s="2"/>
    </row>
    <row r="27" spans="1:12" ht="20.25" thickBot="1">
      <c r="A27" s="2"/>
      <c r="B27" s="54" t="s">
        <v>40</v>
      </c>
      <c r="C27" s="208"/>
      <c r="D27" s="66"/>
      <c r="E27" s="63">
        <f aca="true" t="shared" si="5" ref="E27:J27">SUM(E25:E26)</f>
        <v>0</v>
      </c>
      <c r="F27" s="63">
        <f t="shared" si="5"/>
        <v>301</v>
      </c>
      <c r="G27" s="63">
        <f t="shared" si="5"/>
        <v>301</v>
      </c>
      <c r="H27" s="63">
        <f t="shared" si="5"/>
        <v>301</v>
      </c>
      <c r="I27" s="63">
        <f t="shared" si="5"/>
        <v>301</v>
      </c>
      <c r="J27" s="63">
        <f t="shared" si="5"/>
        <v>301</v>
      </c>
      <c r="K27" s="64">
        <f>SUM(K25)</f>
        <v>280</v>
      </c>
      <c r="L27" s="2"/>
    </row>
    <row r="28" spans="1:12" ht="19.5" thickBot="1">
      <c r="A28" s="2"/>
      <c r="B28" s="26"/>
      <c r="C28" s="209"/>
      <c r="D28" s="210"/>
      <c r="E28" s="211"/>
      <c r="F28" s="211"/>
      <c r="G28" s="211"/>
      <c r="H28" s="211"/>
      <c r="I28" s="211"/>
      <c r="J28" s="211"/>
      <c r="K28" s="212"/>
      <c r="L28" s="2"/>
    </row>
    <row r="29" spans="1:12" ht="19.5" thickBot="1">
      <c r="A29" s="2"/>
      <c r="B29" s="26"/>
      <c r="C29" s="88" t="s">
        <v>43</v>
      </c>
      <c r="D29" s="89" t="s">
        <v>44</v>
      </c>
      <c r="E29" s="211"/>
      <c r="F29" s="211"/>
      <c r="G29" s="211"/>
      <c r="H29" s="211"/>
      <c r="I29" s="211"/>
      <c r="J29" s="211"/>
      <c r="K29" s="212"/>
      <c r="L29" s="2"/>
    </row>
    <row r="30" spans="1:12" ht="18.75">
      <c r="A30" s="2"/>
      <c r="B30" s="25" t="s">
        <v>67</v>
      </c>
      <c r="C30" s="213">
        <v>16</v>
      </c>
      <c r="D30" s="87">
        <v>20</v>
      </c>
      <c r="E30" s="82">
        <f>+$C$30*$D$30</f>
        <v>320</v>
      </c>
      <c r="F30" s="82">
        <f aca="true" t="shared" si="6" ref="F30:K30">+$C$30*$D$30</f>
        <v>320</v>
      </c>
      <c r="G30" s="82">
        <f t="shared" si="6"/>
        <v>320</v>
      </c>
      <c r="H30" s="82">
        <f t="shared" si="6"/>
        <v>320</v>
      </c>
      <c r="I30" s="82">
        <f t="shared" si="6"/>
        <v>320</v>
      </c>
      <c r="J30" s="82">
        <f t="shared" si="6"/>
        <v>320</v>
      </c>
      <c r="K30" s="214">
        <f t="shared" si="6"/>
        <v>320</v>
      </c>
      <c r="L30" s="2"/>
    </row>
    <row r="31" spans="1:12" ht="18.75">
      <c r="A31" s="2"/>
      <c r="B31" s="21" t="s">
        <v>45</v>
      </c>
      <c r="C31" s="215">
        <v>0</v>
      </c>
      <c r="D31" s="85">
        <f>+D30*1.5</f>
        <v>30</v>
      </c>
      <c r="E31" s="82">
        <f>+$C$31*$D$31</f>
        <v>0</v>
      </c>
      <c r="F31" s="82">
        <f aca="true" t="shared" si="7" ref="F31:K31">+$C$31*$D$31</f>
        <v>0</v>
      </c>
      <c r="G31" s="82">
        <f t="shared" si="7"/>
        <v>0</v>
      </c>
      <c r="H31" s="82">
        <f t="shared" si="7"/>
        <v>0</v>
      </c>
      <c r="I31" s="82">
        <f t="shared" si="7"/>
        <v>0</v>
      </c>
      <c r="J31" s="82">
        <f t="shared" si="7"/>
        <v>0</v>
      </c>
      <c r="K31" s="214">
        <f t="shared" si="7"/>
        <v>0</v>
      </c>
      <c r="L31" s="2"/>
    </row>
    <row r="32" spans="1:12" ht="18.75">
      <c r="A32" s="2"/>
      <c r="B32" s="21" t="s">
        <v>47</v>
      </c>
      <c r="C32" s="215">
        <v>1</v>
      </c>
      <c r="D32" s="84">
        <v>20</v>
      </c>
      <c r="E32" s="82">
        <f>+$C$32*$D$32</f>
        <v>20</v>
      </c>
      <c r="F32" s="82">
        <f aca="true" t="shared" si="8" ref="F32:K32">+$C$32*$D$32</f>
        <v>20</v>
      </c>
      <c r="G32" s="82">
        <f t="shared" si="8"/>
        <v>20</v>
      </c>
      <c r="H32" s="82">
        <f t="shared" si="8"/>
        <v>20</v>
      </c>
      <c r="I32" s="82">
        <f t="shared" si="8"/>
        <v>20</v>
      </c>
      <c r="J32" s="82">
        <f t="shared" si="8"/>
        <v>20</v>
      </c>
      <c r="K32" s="214">
        <f t="shared" si="8"/>
        <v>20</v>
      </c>
      <c r="L32" s="2"/>
    </row>
    <row r="33" spans="1:12" ht="18.75">
      <c r="A33" s="2"/>
      <c r="B33" s="21" t="s">
        <v>46</v>
      </c>
      <c r="C33" s="215">
        <v>0</v>
      </c>
      <c r="D33" s="84">
        <v>20</v>
      </c>
      <c r="E33" s="82">
        <f>+$C$33*$D$33</f>
        <v>0</v>
      </c>
      <c r="F33" s="82">
        <f aca="true" t="shared" si="9" ref="F33:K33">+$C$33*$D$33</f>
        <v>0</v>
      </c>
      <c r="G33" s="82">
        <f t="shared" si="9"/>
        <v>0</v>
      </c>
      <c r="H33" s="82">
        <f t="shared" si="9"/>
        <v>0</v>
      </c>
      <c r="I33" s="82">
        <f t="shared" si="9"/>
        <v>0</v>
      </c>
      <c r="J33" s="82">
        <f t="shared" si="9"/>
        <v>0</v>
      </c>
      <c r="K33" s="214">
        <f t="shared" si="9"/>
        <v>0</v>
      </c>
      <c r="L33" s="2"/>
    </row>
    <row r="34" spans="1:12" ht="18.75">
      <c r="A34" s="2"/>
      <c r="B34" s="21" t="s">
        <v>48</v>
      </c>
      <c r="C34" s="189"/>
      <c r="D34" s="11"/>
      <c r="E34" s="62">
        <f>SUM(E30:E33)</f>
        <v>340</v>
      </c>
      <c r="F34" s="62">
        <f aca="true" t="shared" si="10" ref="F34:K34">SUM(F30:F33)</f>
        <v>340</v>
      </c>
      <c r="G34" s="62">
        <f t="shared" si="10"/>
        <v>340</v>
      </c>
      <c r="H34" s="62">
        <f t="shared" si="10"/>
        <v>340</v>
      </c>
      <c r="I34" s="62">
        <f t="shared" si="10"/>
        <v>340</v>
      </c>
      <c r="J34" s="62">
        <f t="shared" si="10"/>
        <v>340</v>
      </c>
      <c r="K34" s="216">
        <f t="shared" si="10"/>
        <v>340</v>
      </c>
      <c r="L34" s="2"/>
    </row>
    <row r="35" spans="1:12" ht="19.5" thickBot="1">
      <c r="A35" s="2"/>
      <c r="B35" s="23" t="s">
        <v>26</v>
      </c>
      <c r="C35" s="217"/>
      <c r="D35" s="218"/>
      <c r="E35" s="219">
        <f aca="true" t="shared" si="11" ref="E35:K35">E34*0.24</f>
        <v>81.6</v>
      </c>
      <c r="F35" s="219">
        <f t="shared" si="11"/>
        <v>81.6</v>
      </c>
      <c r="G35" s="219">
        <f t="shared" si="11"/>
        <v>81.6</v>
      </c>
      <c r="H35" s="219">
        <f t="shared" si="11"/>
        <v>81.6</v>
      </c>
      <c r="I35" s="219">
        <f t="shared" si="11"/>
        <v>81.6</v>
      </c>
      <c r="J35" s="219">
        <f t="shared" si="11"/>
        <v>81.6</v>
      </c>
      <c r="K35" s="220">
        <f t="shared" si="11"/>
        <v>81.6</v>
      </c>
      <c r="L35" s="2"/>
    </row>
    <row r="36" spans="1:12" ht="19.5" thickBot="1">
      <c r="A36" s="2"/>
      <c r="B36" s="24"/>
      <c r="C36" s="3"/>
      <c r="D36" s="12"/>
      <c r="E36" s="14"/>
      <c r="F36" s="14"/>
      <c r="G36" s="14"/>
      <c r="H36" s="14"/>
      <c r="I36" s="14"/>
      <c r="J36" s="14"/>
      <c r="K36" s="14"/>
      <c r="L36" s="2"/>
    </row>
    <row r="37" spans="1:12" ht="18.75">
      <c r="A37" s="2"/>
      <c r="B37" s="25" t="s">
        <v>35</v>
      </c>
      <c r="C37" s="8"/>
      <c r="D37" s="11"/>
      <c r="E37" s="90">
        <v>50</v>
      </c>
      <c r="F37" s="90">
        <v>50</v>
      </c>
      <c r="G37" s="90">
        <v>50</v>
      </c>
      <c r="H37" s="90">
        <v>50</v>
      </c>
      <c r="I37" s="90">
        <v>50</v>
      </c>
      <c r="J37" s="90">
        <v>50</v>
      </c>
      <c r="K37" s="90">
        <v>50</v>
      </c>
      <c r="L37" s="2"/>
    </row>
    <row r="38" spans="1:12" ht="18.75">
      <c r="A38" s="2"/>
      <c r="B38" s="21" t="s">
        <v>25</v>
      </c>
      <c r="C38" s="17"/>
      <c r="D38" s="11"/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2"/>
    </row>
    <row r="39" spans="1:12" ht="18.75">
      <c r="A39" s="2"/>
      <c r="B39" s="21" t="s">
        <v>95</v>
      </c>
      <c r="C39" s="8"/>
      <c r="D39" s="11"/>
      <c r="E39" s="90">
        <v>0</v>
      </c>
      <c r="F39" s="90">
        <v>40</v>
      </c>
      <c r="G39" s="90">
        <v>50</v>
      </c>
      <c r="H39" s="90">
        <v>50</v>
      </c>
      <c r="I39" s="90">
        <v>60</v>
      </c>
      <c r="J39" s="90">
        <v>60</v>
      </c>
      <c r="K39" s="90">
        <v>60</v>
      </c>
      <c r="L39" s="2"/>
    </row>
    <row r="40" spans="1:12" ht="18.75">
      <c r="A40" s="2"/>
      <c r="B40" s="21" t="s">
        <v>15</v>
      </c>
      <c r="C40" s="8"/>
      <c r="D40" s="11"/>
      <c r="E40" s="90">
        <v>75</v>
      </c>
      <c r="F40" s="90">
        <v>75</v>
      </c>
      <c r="G40" s="90">
        <v>75</v>
      </c>
      <c r="H40" s="90">
        <v>75</v>
      </c>
      <c r="I40" s="90">
        <v>75</v>
      </c>
      <c r="J40" s="90">
        <v>75</v>
      </c>
      <c r="K40" s="90">
        <v>75</v>
      </c>
      <c r="L40" s="2"/>
    </row>
    <row r="41" spans="1:12" ht="18.75">
      <c r="A41" s="2"/>
      <c r="B41" s="27"/>
      <c r="C41" s="3"/>
      <c r="D41" s="3"/>
      <c r="E41" s="4"/>
      <c r="F41" s="4"/>
      <c r="G41" s="4"/>
      <c r="H41" s="4"/>
      <c r="I41" s="4"/>
      <c r="J41" s="4"/>
      <c r="K41" s="4"/>
      <c r="L41" s="2"/>
    </row>
    <row r="42" spans="1:12" ht="18.75">
      <c r="A42" s="2"/>
      <c r="B42" s="22" t="s">
        <v>68</v>
      </c>
      <c r="C42" s="9"/>
      <c r="D42" s="91">
        <v>0.3</v>
      </c>
      <c r="E42" s="4"/>
      <c r="F42" s="4"/>
      <c r="G42" s="4"/>
      <c r="H42" s="4"/>
      <c r="I42" s="4"/>
      <c r="J42" s="4"/>
      <c r="K42" s="4"/>
      <c r="L42" s="2"/>
    </row>
    <row r="43" spans="1:12" ht="18.75">
      <c r="A43" s="2"/>
      <c r="B43" s="22" t="s">
        <v>37</v>
      </c>
      <c r="C43" s="9"/>
      <c r="D43" s="91">
        <v>0.03</v>
      </c>
      <c r="E43" s="4"/>
      <c r="F43" s="4"/>
      <c r="G43" s="4"/>
      <c r="H43" s="4"/>
      <c r="I43" s="4"/>
      <c r="J43" s="4"/>
      <c r="K43" s="4"/>
      <c r="L43" s="2"/>
    </row>
    <row r="44" spans="1:12" ht="19.5" thickBot="1">
      <c r="A44" s="2"/>
      <c r="B44" s="28" t="s">
        <v>30</v>
      </c>
      <c r="C44" s="9"/>
      <c r="D44" s="91">
        <v>0.15</v>
      </c>
      <c r="E44" s="4"/>
      <c r="F44" s="4"/>
      <c r="G44" s="4"/>
      <c r="H44" s="4"/>
      <c r="I44" s="4"/>
      <c r="J44" s="4"/>
      <c r="K44" s="4"/>
      <c r="L44" s="2"/>
    </row>
    <row r="45" spans="1:12" ht="19.5" thickBot="1">
      <c r="A45" s="2"/>
      <c r="B45" s="24"/>
      <c r="C45" s="3"/>
      <c r="D45" s="3"/>
      <c r="E45" s="4"/>
      <c r="F45" s="4"/>
      <c r="G45" s="4"/>
      <c r="H45" s="4"/>
      <c r="I45" s="4"/>
      <c r="J45" s="4"/>
      <c r="K45" s="4"/>
      <c r="L45" s="2"/>
    </row>
    <row r="46" spans="1:12" ht="19.5" thickBot="1">
      <c r="A46" s="2"/>
      <c r="B46" s="54" t="s">
        <v>70</v>
      </c>
      <c r="C46" s="99"/>
      <c r="D46" s="100"/>
      <c r="E46" s="97">
        <f aca="true" t="shared" si="12" ref="E46:K46">SUM(E37+E34+E27+E14+E35+E39+E38+E40)</f>
        <v>546.6</v>
      </c>
      <c r="F46" s="97">
        <f t="shared" si="12"/>
        <v>2311.975</v>
      </c>
      <c r="G46" s="97">
        <f t="shared" si="12"/>
        <v>2404.75</v>
      </c>
      <c r="H46" s="97">
        <f t="shared" si="12"/>
        <v>2496.125</v>
      </c>
      <c r="I46" s="97">
        <f t="shared" si="12"/>
        <v>2699.625</v>
      </c>
      <c r="J46" s="97">
        <f t="shared" si="12"/>
        <v>2800.6749999999997</v>
      </c>
      <c r="K46" s="98">
        <f t="shared" si="12"/>
        <v>3011.875</v>
      </c>
      <c r="L46" s="2"/>
    </row>
    <row r="47" spans="1:12" ht="19.5" thickBot="1">
      <c r="A47" s="2"/>
      <c r="B47" s="93" t="s">
        <v>69</v>
      </c>
      <c r="C47" s="19"/>
      <c r="D47" s="94"/>
      <c r="E47" s="95">
        <f>SUM($D$42:$D$44)</f>
        <v>0.48</v>
      </c>
      <c r="F47" s="95">
        <f aca="true" t="shared" si="13" ref="F47:K47">SUM($D$42:$D$44)</f>
        <v>0.48</v>
      </c>
      <c r="G47" s="95">
        <f t="shared" si="13"/>
        <v>0.48</v>
      </c>
      <c r="H47" s="95">
        <f t="shared" si="13"/>
        <v>0.48</v>
      </c>
      <c r="I47" s="95">
        <f t="shared" si="13"/>
        <v>0.48</v>
      </c>
      <c r="J47" s="95">
        <f t="shared" si="13"/>
        <v>0.48</v>
      </c>
      <c r="K47" s="109">
        <f t="shared" si="13"/>
        <v>0.48</v>
      </c>
      <c r="L47" s="2"/>
    </row>
    <row r="48" spans="1:12" ht="19.5" thickBot="1">
      <c r="A48" s="2"/>
      <c r="B48" s="54" t="s">
        <v>36</v>
      </c>
      <c r="C48" s="55"/>
      <c r="D48" s="96"/>
      <c r="E48" s="97">
        <f>E49-E46</f>
        <v>504.55384615384617</v>
      </c>
      <c r="F48" s="97">
        <f aca="true" t="shared" si="14" ref="F48:K48">F49-F46</f>
        <v>2134.1307692307687</v>
      </c>
      <c r="G48" s="97">
        <f t="shared" si="14"/>
        <v>2219.7692307692305</v>
      </c>
      <c r="H48" s="97">
        <f t="shared" si="14"/>
        <v>2304.1153846153848</v>
      </c>
      <c r="I48" s="97">
        <f t="shared" si="14"/>
        <v>2491.961538461538</v>
      </c>
      <c r="J48" s="97">
        <f t="shared" si="14"/>
        <v>2585.2384615384613</v>
      </c>
      <c r="K48" s="98">
        <f t="shared" si="14"/>
        <v>2780.1923076923076</v>
      </c>
      <c r="L48" s="2"/>
    </row>
    <row r="49" spans="1:12" ht="18.75">
      <c r="A49" s="2"/>
      <c r="B49" s="35" t="s">
        <v>71</v>
      </c>
      <c r="C49" s="36"/>
      <c r="D49" s="92"/>
      <c r="E49" s="101">
        <f>E46/(1-E47)</f>
        <v>1051.1538461538462</v>
      </c>
      <c r="F49" s="101">
        <f aca="true" t="shared" si="15" ref="F49:K49">F46/(1-F47)</f>
        <v>4446.105769230769</v>
      </c>
      <c r="G49" s="101">
        <f t="shared" si="15"/>
        <v>4624.5192307692305</v>
      </c>
      <c r="H49" s="101">
        <f t="shared" si="15"/>
        <v>4800.240384615385</v>
      </c>
      <c r="I49" s="101">
        <f t="shared" si="15"/>
        <v>5191.586538461538</v>
      </c>
      <c r="J49" s="101">
        <f t="shared" si="15"/>
        <v>5385.913461538461</v>
      </c>
      <c r="K49" s="110">
        <f t="shared" si="15"/>
        <v>5792.067307692308</v>
      </c>
      <c r="L49" s="2"/>
    </row>
    <row r="50" spans="1:12" ht="19.5" thickBot="1">
      <c r="A50" s="2"/>
      <c r="B50" s="23" t="s">
        <v>72</v>
      </c>
      <c r="C50" s="111"/>
      <c r="D50" s="112"/>
      <c r="E50" s="113">
        <v>0</v>
      </c>
      <c r="F50" s="113">
        <v>120</v>
      </c>
      <c r="G50" s="113">
        <v>120</v>
      </c>
      <c r="H50" s="113">
        <v>120</v>
      </c>
      <c r="I50" s="113">
        <v>120</v>
      </c>
      <c r="J50" s="113">
        <v>120</v>
      </c>
      <c r="K50" s="114">
        <v>120</v>
      </c>
      <c r="L50" s="2"/>
    </row>
    <row r="51" spans="1:12" ht="19.5" thickBot="1">
      <c r="A51" s="2"/>
      <c r="B51" s="106"/>
      <c r="C51" s="107"/>
      <c r="D51" s="107"/>
      <c r="E51" s="108"/>
      <c r="F51" s="108"/>
      <c r="G51" s="108"/>
      <c r="H51" s="108"/>
      <c r="I51" s="108"/>
      <c r="J51" s="108"/>
      <c r="K51" s="108"/>
      <c r="L51" s="2"/>
    </row>
    <row r="52" spans="1:12" ht="18.75">
      <c r="A52" s="2"/>
      <c r="B52" s="128" t="s">
        <v>76</v>
      </c>
      <c r="C52" s="115"/>
      <c r="D52" s="116"/>
      <c r="E52" s="117">
        <f aca="true" t="shared" si="16" ref="E52:K52">SUM(E49:E50)</f>
        <v>1051.1538461538462</v>
      </c>
      <c r="F52" s="117">
        <f t="shared" si="16"/>
        <v>4566.105769230769</v>
      </c>
      <c r="G52" s="117">
        <f t="shared" si="16"/>
        <v>4744.5192307692305</v>
      </c>
      <c r="H52" s="117">
        <f t="shared" si="16"/>
        <v>4920.240384615385</v>
      </c>
      <c r="I52" s="117">
        <f t="shared" si="16"/>
        <v>5311.586538461538</v>
      </c>
      <c r="J52" s="117">
        <f t="shared" si="16"/>
        <v>5505.913461538461</v>
      </c>
      <c r="K52" s="118">
        <f t="shared" si="16"/>
        <v>5912.067307692308</v>
      </c>
      <c r="L52" s="2"/>
    </row>
    <row r="53" spans="1:12" ht="18.75">
      <c r="A53" s="2"/>
      <c r="B53" s="129" t="s">
        <v>75</v>
      </c>
      <c r="C53" s="119"/>
      <c r="D53" s="120"/>
      <c r="E53" s="121">
        <f aca="true" t="shared" si="17" ref="E53:K55">E52/0.95</f>
        <v>1106.4777327935224</v>
      </c>
      <c r="F53" s="121">
        <f t="shared" si="17"/>
        <v>4806.427125506072</v>
      </c>
      <c r="G53" s="121">
        <f t="shared" si="17"/>
        <v>4994.2307692307695</v>
      </c>
      <c r="H53" s="121">
        <f t="shared" si="17"/>
        <v>5179.2004048583</v>
      </c>
      <c r="I53" s="121">
        <f t="shared" si="17"/>
        <v>5591.143724696356</v>
      </c>
      <c r="J53" s="121">
        <f t="shared" si="17"/>
        <v>5795.6983805668015</v>
      </c>
      <c r="K53" s="122">
        <f t="shared" si="17"/>
        <v>6223.228744939272</v>
      </c>
      <c r="L53" s="2"/>
    </row>
    <row r="54" spans="1:12" ht="19.5" thickBot="1">
      <c r="A54" s="2"/>
      <c r="B54" s="129" t="s">
        <v>74</v>
      </c>
      <c r="C54" s="123"/>
      <c r="D54" s="123"/>
      <c r="E54" s="124">
        <f t="shared" si="17"/>
        <v>1164.71340294055</v>
      </c>
      <c r="F54" s="124">
        <f t="shared" si="17"/>
        <v>5059.396974216918</v>
      </c>
      <c r="G54" s="124">
        <f t="shared" si="17"/>
        <v>5257.085020242916</v>
      </c>
      <c r="H54" s="124">
        <f t="shared" si="17"/>
        <v>5451.789899850843</v>
      </c>
      <c r="I54" s="124">
        <f t="shared" si="17"/>
        <v>5885.414447048796</v>
      </c>
      <c r="J54" s="124">
        <f t="shared" si="17"/>
        <v>6100.735137438739</v>
      </c>
      <c r="K54" s="125">
        <f t="shared" si="17"/>
        <v>6550.767099936075</v>
      </c>
      <c r="L54" s="2"/>
    </row>
    <row r="55" spans="1:12" ht="19.5" thickBot="1">
      <c r="A55" s="2"/>
      <c r="B55" s="168" t="s">
        <v>77</v>
      </c>
      <c r="C55" s="169"/>
      <c r="D55" s="170"/>
      <c r="E55" s="171">
        <f t="shared" si="17"/>
        <v>1226.0141083584738</v>
      </c>
      <c r="F55" s="171">
        <f t="shared" si="17"/>
        <v>5325.6810254914935</v>
      </c>
      <c r="G55" s="171">
        <f t="shared" si="17"/>
        <v>5533.773705518859</v>
      </c>
      <c r="H55" s="171">
        <f t="shared" si="17"/>
        <v>5738.726210369308</v>
      </c>
      <c r="I55" s="171">
        <f t="shared" si="17"/>
        <v>6195.173102156628</v>
      </c>
      <c r="J55" s="171">
        <f t="shared" si="17"/>
        <v>6421.826460461831</v>
      </c>
      <c r="K55" s="172">
        <f t="shared" si="17"/>
        <v>6895.544315722185</v>
      </c>
      <c r="L55" s="2"/>
    </row>
    <row r="56" spans="1:12" ht="19.5" thickBot="1">
      <c r="A56" s="2"/>
      <c r="B56" s="29"/>
      <c r="C56" s="20"/>
      <c r="D56" s="20"/>
      <c r="E56" s="2"/>
      <c r="F56" s="2"/>
      <c r="G56" s="2"/>
      <c r="H56" s="2"/>
      <c r="I56" s="2"/>
      <c r="J56" s="2"/>
      <c r="K56" s="2"/>
      <c r="L56" s="2"/>
    </row>
    <row r="57" spans="1:12" ht="18.75">
      <c r="A57" s="2"/>
      <c r="B57" s="25" t="s">
        <v>62</v>
      </c>
      <c r="C57" s="102"/>
      <c r="D57" s="103"/>
      <c r="E57" s="152">
        <f>(E14)/E52</f>
        <v>0</v>
      </c>
      <c r="F57" s="152">
        <f aca="true" t="shared" si="18" ref="F57:K57">(F14-81)/F52</f>
        <v>0.294205843643064</v>
      </c>
      <c r="G57" s="152">
        <f t="shared" si="18"/>
        <v>0.30058893865391245</v>
      </c>
      <c r="H57" s="152">
        <f t="shared" si="18"/>
        <v>0.3084249714190794</v>
      </c>
      <c r="I57" s="152">
        <f t="shared" si="18"/>
        <v>0.32213068310388215</v>
      </c>
      <c r="J57" s="152">
        <f t="shared" si="18"/>
        <v>0.3291143263798539</v>
      </c>
      <c r="K57" s="153">
        <f t="shared" si="18"/>
        <v>0.3457800619658294</v>
      </c>
      <c r="L57" s="2"/>
    </row>
    <row r="58" spans="1:12" ht="18.75">
      <c r="A58" s="2"/>
      <c r="B58" s="21" t="s">
        <v>63</v>
      </c>
      <c r="C58" s="8"/>
      <c r="D58" s="6"/>
      <c r="E58" s="131">
        <f>+E27/E52</f>
        <v>0</v>
      </c>
      <c r="F58" s="131">
        <f aca="true" t="shared" si="19" ref="F58:K58">+F27/F52</f>
        <v>0.06592050539615689</v>
      </c>
      <c r="G58" s="131">
        <f t="shared" si="19"/>
        <v>0.06344162292523763</v>
      </c>
      <c r="H58" s="131">
        <f t="shared" si="19"/>
        <v>0.06117587281734593</v>
      </c>
      <c r="I58" s="131">
        <f t="shared" si="19"/>
        <v>0.05666856744598619</v>
      </c>
      <c r="J58" s="131">
        <f t="shared" si="19"/>
        <v>0.05466849453821504</v>
      </c>
      <c r="K58" s="154">
        <f t="shared" si="19"/>
        <v>0.0473607598539493</v>
      </c>
      <c r="L58" s="2"/>
    </row>
    <row r="59" spans="1:12" ht="18.75">
      <c r="A59" s="2"/>
      <c r="B59" s="21" t="s">
        <v>64</v>
      </c>
      <c r="C59" s="8"/>
      <c r="D59" s="6"/>
      <c r="E59" s="131">
        <f>+E34/E52</f>
        <v>0.3234540797658251</v>
      </c>
      <c r="F59" s="131">
        <f aca="true" t="shared" si="20" ref="F59:K59">+F34/F52</f>
        <v>0.07446170044748619</v>
      </c>
      <c r="G59" s="131">
        <f t="shared" si="20"/>
        <v>0.07166163386903918</v>
      </c>
      <c r="H59" s="131">
        <f t="shared" si="20"/>
        <v>0.06910231481029108</v>
      </c>
      <c r="I59" s="131">
        <f t="shared" si="20"/>
        <v>0.06401100641739305</v>
      </c>
      <c r="J59" s="131">
        <f t="shared" si="20"/>
        <v>0.061751787850475456</v>
      </c>
      <c r="K59" s="154">
        <f t="shared" si="20"/>
        <v>0.05750949410836701</v>
      </c>
      <c r="L59" s="2"/>
    </row>
    <row r="60" spans="1:12" ht="18.75">
      <c r="A60" s="2"/>
      <c r="B60" s="21" t="s">
        <v>92</v>
      </c>
      <c r="C60" s="8"/>
      <c r="D60" s="6"/>
      <c r="E60" s="132">
        <f>E65/E34</f>
        <v>1.2984841628959276</v>
      </c>
      <c r="F60" s="132">
        <f aca="true" t="shared" si="21" ref="F60:K60">F65/F34</f>
        <v>5.824013009049772</v>
      </c>
      <c r="G60" s="132">
        <f t="shared" si="21"/>
        <v>6.044406108597284</v>
      </c>
      <c r="H60" s="132">
        <f t="shared" si="21"/>
        <v>6.261473416289593</v>
      </c>
      <c r="I60" s="132">
        <f t="shared" si="21"/>
        <v>6.744901018099547</v>
      </c>
      <c r="J60" s="132">
        <f t="shared" si="21"/>
        <v>6.984951923076923</v>
      </c>
      <c r="K60" s="155">
        <f t="shared" si="21"/>
        <v>7.486671380090498</v>
      </c>
      <c r="L60" s="2"/>
    </row>
    <row r="61" spans="1:12" ht="18.75">
      <c r="A61" s="2"/>
      <c r="B61" s="22" t="s">
        <v>27</v>
      </c>
      <c r="C61" s="9"/>
      <c r="D61" s="7"/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56">
        <v>0</v>
      </c>
      <c r="L61" s="2"/>
    </row>
    <row r="62" spans="1:12" ht="18.75">
      <c r="A62" s="2"/>
      <c r="B62" s="22" t="s">
        <v>49</v>
      </c>
      <c r="C62" s="9"/>
      <c r="D62" s="7"/>
      <c r="E62" s="134">
        <f aca="true" t="shared" si="22" ref="E62:K62">E52*0.06</f>
        <v>63.06923076923077</v>
      </c>
      <c r="F62" s="134">
        <f t="shared" si="22"/>
        <v>273.96634615384613</v>
      </c>
      <c r="G62" s="134">
        <f t="shared" si="22"/>
        <v>284.6711538461538</v>
      </c>
      <c r="H62" s="134">
        <f t="shared" si="22"/>
        <v>295.2144230769231</v>
      </c>
      <c r="I62" s="134">
        <f t="shared" si="22"/>
        <v>318.69519230769225</v>
      </c>
      <c r="J62" s="134">
        <f t="shared" si="22"/>
        <v>330.35480769230765</v>
      </c>
      <c r="K62" s="157">
        <f t="shared" si="22"/>
        <v>354.72403846153844</v>
      </c>
      <c r="L62" s="2"/>
    </row>
    <row r="63" spans="1:12" ht="19.5" thickBot="1">
      <c r="A63" s="2"/>
      <c r="B63" s="28" t="s">
        <v>34</v>
      </c>
      <c r="C63" s="104"/>
      <c r="D63" s="105"/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9">
        <v>0</v>
      </c>
      <c r="L63" s="2"/>
    </row>
    <row r="64" spans="1:12" ht="18.75">
      <c r="A64" s="2"/>
      <c r="B64" s="135" t="s">
        <v>16</v>
      </c>
      <c r="C64" s="136"/>
      <c r="D64" s="137"/>
      <c r="E64" s="138">
        <f aca="true" t="shared" si="23" ref="E64:K64">SUM(E61:E63)</f>
        <v>63.06923076923077</v>
      </c>
      <c r="F64" s="138">
        <f t="shared" si="23"/>
        <v>273.96634615384613</v>
      </c>
      <c r="G64" s="138">
        <f t="shared" si="23"/>
        <v>284.6711538461538</v>
      </c>
      <c r="H64" s="138">
        <f t="shared" si="23"/>
        <v>295.2144230769231</v>
      </c>
      <c r="I64" s="138">
        <f t="shared" si="23"/>
        <v>318.69519230769225</v>
      </c>
      <c r="J64" s="138">
        <f t="shared" si="23"/>
        <v>330.35480769230765</v>
      </c>
      <c r="K64" s="139">
        <f t="shared" si="23"/>
        <v>354.72403846153844</v>
      </c>
      <c r="L64" s="2"/>
    </row>
    <row r="65" spans="1:12" ht="18.75">
      <c r="A65" s="2"/>
      <c r="B65" s="22" t="s">
        <v>17</v>
      </c>
      <c r="C65" s="9"/>
      <c r="D65" s="7"/>
      <c r="E65" s="134">
        <f aca="true" t="shared" si="24" ref="E65:K65">E52-E46-E64</f>
        <v>441.4846153846154</v>
      </c>
      <c r="F65" s="134">
        <f t="shared" si="24"/>
        <v>1980.1644230769225</v>
      </c>
      <c r="G65" s="134">
        <f t="shared" si="24"/>
        <v>2055.098076923077</v>
      </c>
      <c r="H65" s="134">
        <f t="shared" si="24"/>
        <v>2128.9009615384616</v>
      </c>
      <c r="I65" s="134">
        <f t="shared" si="24"/>
        <v>2293.266346153846</v>
      </c>
      <c r="J65" s="134">
        <f t="shared" si="24"/>
        <v>2374.8836538461537</v>
      </c>
      <c r="K65" s="157">
        <f t="shared" si="24"/>
        <v>2545.4682692307692</v>
      </c>
      <c r="L65" s="2"/>
    </row>
    <row r="66" spans="1:12" ht="19.5" thickBot="1">
      <c r="A66" s="2"/>
      <c r="B66" s="28" t="s">
        <v>59</v>
      </c>
      <c r="C66" s="104"/>
      <c r="D66" s="105"/>
      <c r="E66" s="160">
        <f aca="true" t="shared" si="25" ref="E66:K66">E65/E52</f>
        <v>0.42</v>
      </c>
      <c r="F66" s="160">
        <f t="shared" si="25"/>
        <v>0.4336659120821268</v>
      </c>
      <c r="G66" s="160">
        <f t="shared" si="25"/>
        <v>0.4331520175100825</v>
      </c>
      <c r="H66" s="160">
        <f t="shared" si="25"/>
        <v>0.43268230718871226</v>
      </c>
      <c r="I66" s="160">
        <f t="shared" si="25"/>
        <v>0.4317479023542509</v>
      </c>
      <c r="J66" s="160">
        <f t="shared" si="25"/>
        <v>0.4313332692996167</v>
      </c>
      <c r="K66" s="161">
        <f t="shared" si="25"/>
        <v>0.4305546836245944</v>
      </c>
      <c r="L66" s="2"/>
    </row>
    <row r="67" spans="1:12" ht="19.5" thickBot="1">
      <c r="A67" s="2"/>
      <c r="B67" s="162" t="s">
        <v>73</v>
      </c>
      <c r="C67" s="163"/>
      <c r="D67" s="164"/>
      <c r="E67" s="165">
        <f>E52*$D$42</f>
        <v>315.34615384615387</v>
      </c>
      <c r="F67" s="165">
        <f aca="true" t="shared" si="26" ref="F67:K67">F52*$D$42</f>
        <v>1369.8317307692305</v>
      </c>
      <c r="G67" s="165">
        <f t="shared" si="26"/>
        <v>1423.355769230769</v>
      </c>
      <c r="H67" s="165">
        <f t="shared" si="26"/>
        <v>1476.0721153846155</v>
      </c>
      <c r="I67" s="165">
        <f t="shared" si="26"/>
        <v>1593.4759615384614</v>
      </c>
      <c r="J67" s="165">
        <f t="shared" si="26"/>
        <v>1651.7740384615383</v>
      </c>
      <c r="K67" s="166">
        <f t="shared" si="26"/>
        <v>1773.6201923076922</v>
      </c>
      <c r="L67" s="2"/>
    </row>
    <row r="68" spans="1:12" ht="18.75">
      <c r="A68" s="2"/>
      <c r="B68" s="140" t="s">
        <v>60</v>
      </c>
      <c r="C68" s="142"/>
      <c r="D68" s="143"/>
      <c r="E68" s="144">
        <f aca="true" t="shared" si="27" ref="E68:K68">E65-E67</f>
        <v>126.13846153846151</v>
      </c>
      <c r="F68" s="144">
        <f t="shared" si="27"/>
        <v>610.332692307692</v>
      </c>
      <c r="G68" s="144">
        <f t="shared" si="27"/>
        <v>631.7423076923078</v>
      </c>
      <c r="H68" s="144">
        <f t="shared" si="27"/>
        <v>652.8288461538461</v>
      </c>
      <c r="I68" s="144">
        <f t="shared" si="27"/>
        <v>699.7903846153845</v>
      </c>
      <c r="J68" s="144">
        <f t="shared" si="27"/>
        <v>723.1096153846154</v>
      </c>
      <c r="K68" s="145">
        <f t="shared" si="27"/>
        <v>771.8480769230771</v>
      </c>
      <c r="L68" s="2"/>
    </row>
    <row r="69" spans="1:12" ht="18.75">
      <c r="A69" s="2"/>
      <c r="B69" s="141" t="s">
        <v>61</v>
      </c>
      <c r="C69" s="146"/>
      <c r="D69" s="147"/>
      <c r="E69" s="148">
        <f>+E68/E52</f>
        <v>0.11999999999999997</v>
      </c>
      <c r="F69" s="148">
        <f aca="true" t="shared" si="28" ref="F69:K69">+F68/F52</f>
        <v>0.13366591208212683</v>
      </c>
      <c r="G69" s="148">
        <f t="shared" si="28"/>
        <v>0.13315201751008252</v>
      </c>
      <c r="H69" s="148">
        <f t="shared" si="28"/>
        <v>0.13268230718871224</v>
      </c>
      <c r="I69" s="148">
        <f t="shared" si="28"/>
        <v>0.13174790235425093</v>
      </c>
      <c r="J69" s="148">
        <f t="shared" si="28"/>
        <v>0.1313332692996167</v>
      </c>
      <c r="K69" s="149">
        <f t="shared" si="28"/>
        <v>0.13055468362459444</v>
      </c>
      <c r="L69" s="2"/>
    </row>
    <row r="70" spans="1:12" ht="18.75">
      <c r="A70" s="2"/>
      <c r="B70" s="141" t="s">
        <v>31</v>
      </c>
      <c r="C70" s="146"/>
      <c r="D70" s="147"/>
      <c r="E70" s="148">
        <f>(+E53-E46-(E53*($D$43+0.01))-E61-E63-(E53*$D$42))/E53</f>
        <v>0.16600000000000004</v>
      </c>
      <c r="F70" s="148">
        <f aca="true" t="shared" si="29" ref="F70:K70">(+F53-F46-(F53*($D$43+0.01))-F61-F63-(F53*$D$42))/F53</f>
        <v>0.1789826164780205</v>
      </c>
      <c r="G70" s="148">
        <f t="shared" si="29"/>
        <v>0.17849441663457838</v>
      </c>
      <c r="H70" s="148">
        <f t="shared" si="29"/>
        <v>0.17804819182927675</v>
      </c>
      <c r="I70" s="148">
        <f t="shared" si="29"/>
        <v>0.17716050723653837</v>
      </c>
      <c r="J70" s="148">
        <f t="shared" si="29"/>
        <v>0.17676660583463583</v>
      </c>
      <c r="K70" s="149">
        <f t="shared" si="29"/>
        <v>0.17602694944336472</v>
      </c>
      <c r="L70" s="2"/>
    </row>
    <row r="71" spans="1:12" ht="18.75">
      <c r="A71" s="2"/>
      <c r="B71" s="141" t="s">
        <v>32</v>
      </c>
      <c r="C71" s="146"/>
      <c r="D71" s="147"/>
      <c r="E71" s="148">
        <f>(+E54-E46-(E54*($D$43+0.02))-E61-E63-(E54*$D$42))/E54</f>
        <v>0.1807000000000001</v>
      </c>
      <c r="F71" s="148">
        <f aca="true" t="shared" si="30" ref="F71:K71">(+F54-F46-(F54*($D$43+0.02))-F61-F63-(F54*$D$42))/F54</f>
        <v>0.19303348565411954</v>
      </c>
      <c r="G71" s="148">
        <f t="shared" si="30"/>
        <v>0.19256969580284952</v>
      </c>
      <c r="H71" s="148">
        <f t="shared" si="30"/>
        <v>0.19214578223781287</v>
      </c>
      <c r="I71" s="148">
        <f t="shared" si="30"/>
        <v>0.1913024818747115</v>
      </c>
      <c r="J71" s="148">
        <f t="shared" si="30"/>
        <v>0.19092827554290412</v>
      </c>
      <c r="K71" s="149">
        <f t="shared" si="30"/>
        <v>0.1902256019711965</v>
      </c>
      <c r="L71" s="2"/>
    </row>
    <row r="72" spans="1:12" ht="19.5" thickBot="1">
      <c r="A72" s="2"/>
      <c r="B72" s="130" t="s">
        <v>33</v>
      </c>
      <c r="C72" s="126"/>
      <c r="D72" s="127"/>
      <c r="E72" s="150">
        <f>(+E55-E46-(E55*($D$43+0.03))-E61-E63-(E55*$D$42))/E55</f>
        <v>0.19416500000000014</v>
      </c>
      <c r="F72" s="150">
        <f aca="true" t="shared" si="31" ref="F72:K72">(+F55-F46-(F55*($D$43+0.03))-F61-F63-(F55*$D$42))/F55</f>
        <v>0.20588181137141354</v>
      </c>
      <c r="G72" s="150">
        <f t="shared" si="31"/>
        <v>0.2054412110127071</v>
      </c>
      <c r="H72" s="150">
        <f t="shared" si="31"/>
        <v>0.2050384931259223</v>
      </c>
      <c r="I72" s="150">
        <f t="shared" si="31"/>
        <v>0.204237357780976</v>
      </c>
      <c r="J72" s="150">
        <f t="shared" si="31"/>
        <v>0.20388186176575895</v>
      </c>
      <c r="K72" s="151">
        <f t="shared" si="31"/>
        <v>0.20321432187263674</v>
      </c>
      <c r="L72" s="2"/>
    </row>
    <row r="73" spans="1:12" ht="12.75">
      <c r="A73" s="2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</row>
  </sheetData>
  <sheetProtection/>
  <mergeCells count="1">
    <mergeCell ref="B4:K4"/>
  </mergeCells>
  <printOptions/>
  <pageMargins left="0.75" right="0.75" top="1" bottom="1" header="0.5" footer="0.5"/>
  <pageSetup fitToHeight="1" fitToWidth="1" orientation="portrait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2" max="2" width="57.8515625" style="0" customWidth="1"/>
    <col min="3" max="3" width="8.421875" style="0" bestFit="1" customWidth="1"/>
    <col min="4" max="9" width="12.7109375" style="0" customWidth="1"/>
  </cols>
  <sheetData>
    <row r="1" spans="1:10" ht="20.25">
      <c r="A1" s="2"/>
      <c r="B1" s="375" t="s">
        <v>102</v>
      </c>
      <c r="C1" s="1"/>
      <c r="D1" s="2"/>
      <c r="E1" s="2"/>
      <c r="F1" s="2"/>
      <c r="G1" s="2"/>
      <c r="H1" s="2"/>
      <c r="I1" s="2"/>
      <c r="J1" s="2"/>
    </row>
    <row r="2" spans="1:10" ht="15.75">
      <c r="A2" s="2"/>
      <c r="B2" s="376" t="s">
        <v>115</v>
      </c>
      <c r="C2" s="1"/>
      <c r="D2" s="2"/>
      <c r="E2" s="2"/>
      <c r="F2" s="2"/>
      <c r="G2" s="2"/>
      <c r="H2" s="2"/>
      <c r="I2" s="2"/>
      <c r="J2" s="2"/>
    </row>
    <row r="3" spans="1:10" ht="13.5" thickBot="1">
      <c r="A3" s="2"/>
      <c r="B3" s="1"/>
      <c r="C3" s="1"/>
      <c r="D3" s="2"/>
      <c r="E3" s="2"/>
      <c r="F3" s="2"/>
      <c r="G3" s="2"/>
      <c r="H3" s="2"/>
      <c r="I3" s="2"/>
      <c r="J3" s="2"/>
    </row>
    <row r="4" spans="1:10" ht="21" thickBot="1">
      <c r="A4" s="2"/>
      <c r="B4" s="378" t="s">
        <v>116</v>
      </c>
      <c r="C4" s="379"/>
      <c r="D4" s="379"/>
      <c r="E4" s="379"/>
      <c r="F4" s="379"/>
      <c r="G4" s="379"/>
      <c r="H4" s="379"/>
      <c r="I4" s="380"/>
      <c r="J4" s="2"/>
    </row>
    <row r="5" spans="1:10" ht="19.5" thickBot="1">
      <c r="A5" s="5"/>
      <c r="B5" s="338"/>
      <c r="C5" s="366" t="s">
        <v>57</v>
      </c>
      <c r="D5" s="367" t="s">
        <v>58</v>
      </c>
      <c r="E5" s="368" t="s">
        <v>50</v>
      </c>
      <c r="F5" s="369" t="s">
        <v>52</v>
      </c>
      <c r="G5" s="370" t="s">
        <v>54</v>
      </c>
      <c r="H5" s="371" t="s">
        <v>55</v>
      </c>
      <c r="I5" s="372" t="s">
        <v>56</v>
      </c>
      <c r="J5" s="5"/>
    </row>
    <row r="6" spans="1:10" ht="15.75">
      <c r="A6" s="2"/>
      <c r="B6" s="339" t="s">
        <v>103</v>
      </c>
      <c r="C6" s="340"/>
      <c r="D6" s="341"/>
      <c r="E6" s="342">
        <v>0</v>
      </c>
      <c r="F6" s="342">
        <v>975</v>
      </c>
      <c r="G6" s="343">
        <v>0</v>
      </c>
      <c r="H6" s="343">
        <v>0</v>
      </c>
      <c r="I6" s="344">
        <v>0</v>
      </c>
      <c r="J6" s="2"/>
    </row>
    <row r="7" spans="1:10" ht="15.75">
      <c r="A7" s="2"/>
      <c r="B7" s="314"/>
      <c r="C7" s="345"/>
      <c r="D7" s="346"/>
      <c r="E7" s="311">
        <v>0</v>
      </c>
      <c r="F7" s="311">
        <v>0</v>
      </c>
      <c r="G7" s="312">
        <v>0</v>
      </c>
      <c r="H7" s="312">
        <v>0</v>
      </c>
      <c r="I7" s="313">
        <v>0</v>
      </c>
      <c r="J7" s="2"/>
    </row>
    <row r="8" spans="1:10" ht="15.75">
      <c r="A8" s="2"/>
      <c r="B8" s="314" t="s">
        <v>104</v>
      </c>
      <c r="C8" s="345"/>
      <c r="D8" s="346"/>
      <c r="E8" s="311">
        <v>0</v>
      </c>
      <c r="F8" s="311">
        <v>500</v>
      </c>
      <c r="G8" s="312">
        <v>0</v>
      </c>
      <c r="H8" s="312">
        <v>0</v>
      </c>
      <c r="I8" s="313">
        <v>0</v>
      </c>
      <c r="J8" s="2"/>
    </row>
    <row r="9" spans="1:10" ht="16.5" thickBot="1">
      <c r="A9" s="2"/>
      <c r="B9" s="347" t="s">
        <v>127</v>
      </c>
      <c r="C9" s="348"/>
      <c r="D9" s="349"/>
      <c r="E9" s="350">
        <v>0</v>
      </c>
      <c r="F9" s="350">
        <v>250</v>
      </c>
      <c r="G9" s="351">
        <v>0</v>
      </c>
      <c r="H9" s="351">
        <v>0</v>
      </c>
      <c r="I9" s="352">
        <v>0</v>
      </c>
      <c r="J9" s="2"/>
    </row>
    <row r="10" spans="1:10" ht="16.5" thickBot="1">
      <c r="A10" s="2"/>
      <c r="B10" s="272" t="s">
        <v>39</v>
      </c>
      <c r="C10" s="273"/>
      <c r="D10" s="274"/>
      <c r="E10" s="275">
        <f>SUM(E6:E9)</f>
        <v>0</v>
      </c>
      <c r="F10" s="246">
        <f>SUM(F6:F9)</f>
        <v>1725</v>
      </c>
      <c r="G10" s="275">
        <f>SUM(G6:G9)</f>
        <v>0</v>
      </c>
      <c r="H10" s="275">
        <f>SUM(H6:H9)</f>
        <v>0</v>
      </c>
      <c r="I10" s="276">
        <f>SUM(I6:I9)</f>
        <v>0</v>
      </c>
      <c r="J10" s="2"/>
    </row>
    <row r="11" spans="1:10" ht="12.75">
      <c r="A11" s="2"/>
      <c r="B11" s="339" t="s">
        <v>134</v>
      </c>
      <c r="C11" s="356"/>
      <c r="D11" s="357"/>
      <c r="E11" s="353">
        <v>0</v>
      </c>
      <c r="F11" s="353">
        <v>150</v>
      </c>
      <c r="G11" s="353">
        <v>0</v>
      </c>
      <c r="H11" s="353">
        <v>0</v>
      </c>
      <c r="I11" s="358">
        <v>0</v>
      </c>
      <c r="J11" s="2"/>
    </row>
    <row r="12" spans="1:10" ht="13.5" thickBot="1">
      <c r="A12" s="2"/>
      <c r="B12" s="347" t="s">
        <v>128</v>
      </c>
      <c r="C12" s="359"/>
      <c r="D12" s="360"/>
      <c r="E12" s="350">
        <v>0</v>
      </c>
      <c r="F12" s="350">
        <v>0</v>
      </c>
      <c r="G12" s="350">
        <v>0</v>
      </c>
      <c r="H12" s="350">
        <v>0</v>
      </c>
      <c r="I12" s="361">
        <v>0</v>
      </c>
      <c r="J12" s="2"/>
    </row>
    <row r="13" spans="1:10" ht="13.5" thickBot="1">
      <c r="A13" s="2"/>
      <c r="B13" s="354" t="s">
        <v>65</v>
      </c>
      <c r="C13" s="362"/>
      <c r="D13" s="363">
        <v>0.075</v>
      </c>
      <c r="E13" s="355">
        <f>+$D$13*SUM(E10:E12)</f>
        <v>0</v>
      </c>
      <c r="F13" s="364">
        <f>+$D$13*SUM(F10:F12)</f>
        <v>140.625</v>
      </c>
      <c r="G13" s="364">
        <f>+$D$13*SUM(G10:G12)</f>
        <v>0</v>
      </c>
      <c r="H13" s="364">
        <f>+$D$13*SUM(H10:H12)</f>
        <v>0</v>
      </c>
      <c r="I13" s="365">
        <f>+$D$13*SUM(I10:I12)</f>
        <v>0</v>
      </c>
      <c r="J13" s="2"/>
    </row>
    <row r="14" spans="1:10" ht="16.5" thickBot="1">
      <c r="A14" s="2"/>
      <c r="B14" s="272" t="s">
        <v>66</v>
      </c>
      <c r="C14" s="273"/>
      <c r="D14" s="274"/>
      <c r="E14" s="275">
        <f>SUM(E10:E13)</f>
        <v>0</v>
      </c>
      <c r="F14" s="246">
        <f>SUM(F10:F13)</f>
        <v>2015.625</v>
      </c>
      <c r="G14" s="275">
        <f>SUM(G10:G13)</f>
        <v>0</v>
      </c>
      <c r="H14" s="275">
        <f>SUM(H10:H13)</f>
        <v>0</v>
      </c>
      <c r="I14" s="276">
        <f>SUM(I10:I13)</f>
        <v>0</v>
      </c>
      <c r="J14" s="2"/>
    </row>
    <row r="15" spans="1:10" ht="16.5" thickBot="1">
      <c r="A15" s="2"/>
      <c r="B15" s="226"/>
      <c r="C15" s="224"/>
      <c r="D15" s="225"/>
      <c r="E15" s="223"/>
      <c r="F15" s="223"/>
      <c r="G15" s="223"/>
      <c r="H15" s="227"/>
      <c r="I15" s="228"/>
      <c r="J15" s="2"/>
    </row>
    <row r="16" spans="1:10" ht="15.75">
      <c r="A16" s="2"/>
      <c r="B16" s="308" t="s">
        <v>105</v>
      </c>
      <c r="C16" s="309"/>
      <c r="D16" s="310"/>
      <c r="E16" s="311">
        <v>100</v>
      </c>
      <c r="F16" s="311">
        <v>350</v>
      </c>
      <c r="G16" s="311">
        <v>0</v>
      </c>
      <c r="H16" s="312">
        <v>0</v>
      </c>
      <c r="I16" s="313">
        <v>0</v>
      </c>
      <c r="J16" s="2"/>
    </row>
    <row r="17" spans="1:10" ht="15.75">
      <c r="A17" s="2"/>
      <c r="B17" s="314" t="s">
        <v>111</v>
      </c>
      <c r="C17" s="309"/>
      <c r="D17" s="310"/>
      <c r="E17" s="311">
        <v>0</v>
      </c>
      <c r="F17" s="311">
        <v>0</v>
      </c>
      <c r="G17" s="311">
        <v>0</v>
      </c>
      <c r="H17" s="312">
        <v>0</v>
      </c>
      <c r="I17" s="313">
        <v>0</v>
      </c>
      <c r="J17" s="2"/>
    </row>
    <row r="18" spans="1:10" ht="15.75">
      <c r="A18" s="2"/>
      <c r="B18" s="315" t="s">
        <v>112</v>
      </c>
      <c r="C18" s="316"/>
      <c r="D18" s="317"/>
      <c r="E18" s="318">
        <v>0</v>
      </c>
      <c r="F18" s="318">
        <v>0</v>
      </c>
      <c r="G18" s="318">
        <v>0</v>
      </c>
      <c r="H18" s="319">
        <v>0</v>
      </c>
      <c r="I18" s="320">
        <v>0</v>
      </c>
      <c r="J18" s="2"/>
    </row>
    <row r="19" spans="1:10" ht="15.75">
      <c r="A19" s="2"/>
      <c r="B19" s="314" t="s">
        <v>113</v>
      </c>
      <c r="C19" s="309"/>
      <c r="D19" s="310"/>
      <c r="E19" s="311">
        <v>40</v>
      </c>
      <c r="F19" s="311">
        <v>0</v>
      </c>
      <c r="G19" s="311">
        <v>0</v>
      </c>
      <c r="H19" s="312">
        <v>0</v>
      </c>
      <c r="I19" s="313">
        <v>0</v>
      </c>
      <c r="J19" s="2"/>
    </row>
    <row r="20" spans="1:10" ht="15.75">
      <c r="A20" s="2"/>
      <c r="B20" s="314" t="s">
        <v>114</v>
      </c>
      <c r="C20" s="309"/>
      <c r="D20" s="310"/>
      <c r="E20" s="311">
        <v>40</v>
      </c>
      <c r="F20" s="311">
        <v>0</v>
      </c>
      <c r="G20" s="311">
        <v>0</v>
      </c>
      <c r="H20" s="312">
        <v>0</v>
      </c>
      <c r="I20" s="313">
        <v>0</v>
      </c>
      <c r="J20" s="2"/>
    </row>
    <row r="21" spans="1:10" ht="15.75">
      <c r="A21" s="2"/>
      <c r="B21" s="314" t="s">
        <v>122</v>
      </c>
      <c r="C21" s="309"/>
      <c r="D21" s="310"/>
      <c r="E21" s="311">
        <v>0</v>
      </c>
      <c r="F21" s="311">
        <v>0</v>
      </c>
      <c r="G21" s="311">
        <v>0</v>
      </c>
      <c r="H21" s="312">
        <v>0</v>
      </c>
      <c r="I21" s="313">
        <v>0</v>
      </c>
      <c r="J21" s="2"/>
    </row>
    <row r="22" spans="1:10" ht="15.75">
      <c r="A22" s="2"/>
      <c r="B22" s="314"/>
      <c r="C22" s="309"/>
      <c r="D22" s="310"/>
      <c r="E22" s="311">
        <v>0</v>
      </c>
      <c r="F22" s="311">
        <v>0</v>
      </c>
      <c r="G22" s="311">
        <v>0</v>
      </c>
      <c r="H22" s="312">
        <v>0</v>
      </c>
      <c r="I22" s="313">
        <v>0</v>
      </c>
      <c r="J22" s="2"/>
    </row>
    <row r="23" spans="1:10" ht="15.75">
      <c r="A23" s="2"/>
      <c r="B23" s="314"/>
      <c r="C23" s="309"/>
      <c r="D23" s="310"/>
      <c r="E23" s="311">
        <v>20</v>
      </c>
      <c r="F23" s="311">
        <v>0</v>
      </c>
      <c r="G23" s="311">
        <v>0</v>
      </c>
      <c r="H23" s="312">
        <v>0</v>
      </c>
      <c r="I23" s="313">
        <v>0</v>
      </c>
      <c r="J23" s="2"/>
    </row>
    <row r="24" spans="1:10" ht="16.5" thickBot="1">
      <c r="A24" s="2"/>
      <c r="B24" s="321"/>
      <c r="C24" s="322"/>
      <c r="D24" s="323"/>
      <c r="E24" s="324">
        <v>0</v>
      </c>
      <c r="F24" s="324">
        <v>0</v>
      </c>
      <c r="G24" s="324">
        <v>0</v>
      </c>
      <c r="H24" s="325">
        <v>0</v>
      </c>
      <c r="I24" s="326">
        <v>0</v>
      </c>
      <c r="J24" s="2"/>
    </row>
    <row r="25" spans="1:10" ht="16.5" thickBot="1">
      <c r="A25" s="2"/>
      <c r="B25" s="327" t="s">
        <v>123</v>
      </c>
      <c r="C25" s="328"/>
      <c r="D25" s="329"/>
      <c r="E25" s="330">
        <f>SUM(E16:E24)</f>
        <v>200</v>
      </c>
      <c r="F25" s="330">
        <f>SUM(F16:F24)</f>
        <v>350</v>
      </c>
      <c r="G25" s="330">
        <f>SUM(G16:G24)</f>
        <v>0</v>
      </c>
      <c r="H25" s="331">
        <f>SUM(H16:H24)</f>
        <v>0</v>
      </c>
      <c r="I25" s="332">
        <f>SUM(I16:I24)</f>
        <v>0</v>
      </c>
      <c r="J25" s="2"/>
    </row>
    <row r="26" spans="1:10" ht="13.5" thickBot="1">
      <c r="A26" s="2"/>
      <c r="B26" s="333" t="s">
        <v>65</v>
      </c>
      <c r="C26" s="334"/>
      <c r="D26" s="335">
        <v>0.0825</v>
      </c>
      <c r="E26" s="336">
        <f>+$D$26*SUM(E16:E24)</f>
        <v>16.5</v>
      </c>
      <c r="F26" s="336">
        <f>+$D$26*SUM(F16:F24)</f>
        <v>28.875</v>
      </c>
      <c r="G26" s="336">
        <f>+$D$26*SUM(G16:G24)</f>
        <v>0</v>
      </c>
      <c r="H26" s="336">
        <f>+$D$26*SUM(H16:H24)</f>
        <v>0</v>
      </c>
      <c r="I26" s="337">
        <f>+$D$26*SUM(I16:I24)</f>
        <v>0</v>
      </c>
      <c r="J26" s="2"/>
    </row>
    <row r="27" spans="1:10" ht="16.5" thickBot="1">
      <c r="A27" s="2"/>
      <c r="B27" s="272" t="s">
        <v>40</v>
      </c>
      <c r="C27" s="273"/>
      <c r="D27" s="277"/>
      <c r="E27" s="275">
        <f>SUM(E25:E26)</f>
        <v>216.5</v>
      </c>
      <c r="F27" s="275">
        <f>SUM(F25:F26)</f>
        <v>378.875</v>
      </c>
      <c r="G27" s="275">
        <f>SUM(G25:G26)</f>
        <v>0</v>
      </c>
      <c r="H27" s="275">
        <f>SUM(H25:H26)</f>
        <v>0</v>
      </c>
      <c r="I27" s="276">
        <f>SUM(I25)</f>
        <v>0</v>
      </c>
      <c r="J27" s="2"/>
    </row>
    <row r="28" spans="1:10" ht="13.5" thickBot="1">
      <c r="A28" s="2"/>
      <c r="B28" s="251"/>
      <c r="C28" s="247"/>
      <c r="D28" s="248"/>
      <c r="E28" s="249"/>
      <c r="F28" s="249"/>
      <c r="G28" s="249"/>
      <c r="H28" s="249"/>
      <c r="I28" s="250"/>
      <c r="J28" s="2"/>
    </row>
    <row r="29" spans="1:10" ht="13.5" thickBot="1">
      <c r="A29" s="2"/>
      <c r="B29" s="251"/>
      <c r="C29" s="373" t="s">
        <v>43</v>
      </c>
      <c r="D29" s="374" t="s">
        <v>44</v>
      </c>
      <c r="E29" s="249"/>
      <c r="F29" s="249"/>
      <c r="G29" s="249"/>
      <c r="H29" s="249"/>
      <c r="I29" s="250"/>
      <c r="J29" s="2"/>
    </row>
    <row r="30" spans="1:10" s="230" customFormat="1" ht="19.5" customHeight="1">
      <c r="A30" s="229"/>
      <c r="B30" s="294" t="s">
        <v>135</v>
      </c>
      <c r="C30" s="295">
        <v>0</v>
      </c>
      <c r="D30" s="296">
        <v>0</v>
      </c>
      <c r="E30" s="297">
        <f>+$C$30*$D$30</f>
        <v>0</v>
      </c>
      <c r="F30" s="286">
        <v>250</v>
      </c>
      <c r="G30" s="286">
        <v>250</v>
      </c>
      <c r="H30" s="286">
        <v>250</v>
      </c>
      <c r="I30" s="287">
        <v>250</v>
      </c>
      <c r="J30" s="229"/>
    </row>
    <row r="31" spans="1:10" s="230" customFormat="1" ht="19.5" customHeight="1">
      <c r="A31" s="229"/>
      <c r="B31" s="283" t="s">
        <v>45</v>
      </c>
      <c r="C31" s="298">
        <v>0</v>
      </c>
      <c r="D31" s="299">
        <v>0</v>
      </c>
      <c r="E31" s="297">
        <f>+$C$31*$D$31</f>
        <v>0</v>
      </c>
      <c r="F31" s="286">
        <v>0</v>
      </c>
      <c r="G31" s="286">
        <v>0</v>
      </c>
      <c r="H31" s="286">
        <v>0</v>
      </c>
      <c r="I31" s="287">
        <v>0</v>
      </c>
      <c r="J31" s="229"/>
    </row>
    <row r="32" spans="1:10" s="230" customFormat="1" ht="19.5" customHeight="1">
      <c r="A32" s="229"/>
      <c r="B32" s="283" t="s">
        <v>47</v>
      </c>
      <c r="C32" s="298">
        <v>0</v>
      </c>
      <c r="D32" s="300">
        <v>0</v>
      </c>
      <c r="E32" s="297">
        <f>+$C$32*$D$32</f>
        <v>0</v>
      </c>
      <c r="F32" s="286">
        <v>0</v>
      </c>
      <c r="G32" s="286">
        <v>0</v>
      </c>
      <c r="H32" s="286">
        <v>0</v>
      </c>
      <c r="I32" s="287">
        <v>0</v>
      </c>
      <c r="J32" s="229"/>
    </row>
    <row r="33" spans="1:10" s="230" customFormat="1" ht="19.5" customHeight="1">
      <c r="A33" s="229"/>
      <c r="B33" s="283" t="s">
        <v>46</v>
      </c>
      <c r="C33" s="298">
        <v>0</v>
      </c>
      <c r="D33" s="300">
        <v>0</v>
      </c>
      <c r="E33" s="297">
        <f>+$C$33*$D$33</f>
        <v>0</v>
      </c>
      <c r="F33" s="286">
        <v>0</v>
      </c>
      <c r="G33" s="286">
        <v>0</v>
      </c>
      <c r="H33" s="286">
        <v>0</v>
      </c>
      <c r="I33" s="287">
        <v>0</v>
      </c>
      <c r="J33" s="229"/>
    </row>
    <row r="34" spans="1:10" s="230" customFormat="1" ht="19.5" customHeight="1">
      <c r="A34" s="229"/>
      <c r="B34" s="283" t="s">
        <v>48</v>
      </c>
      <c r="C34" s="301"/>
      <c r="D34" s="285"/>
      <c r="E34" s="297">
        <f>SUM(E30:E33)</f>
        <v>0</v>
      </c>
      <c r="F34" s="285">
        <f>SUM(F30:F33)</f>
        <v>250</v>
      </c>
      <c r="G34" s="285">
        <f>SUM(G30:G33)</f>
        <v>250</v>
      </c>
      <c r="H34" s="285">
        <f>SUM(H30:H33)</f>
        <v>250</v>
      </c>
      <c r="I34" s="302">
        <f>SUM(I30:I33)</f>
        <v>250</v>
      </c>
      <c r="J34" s="229"/>
    </row>
    <row r="35" spans="1:10" s="230" customFormat="1" ht="19.5" customHeight="1" thickBot="1">
      <c r="A35" s="229"/>
      <c r="B35" s="303" t="s">
        <v>133</v>
      </c>
      <c r="C35" s="304"/>
      <c r="D35" s="305"/>
      <c r="E35" s="306">
        <f>E34*0.24</f>
        <v>0</v>
      </c>
      <c r="F35" s="306">
        <f>F34*0.3</f>
        <v>75</v>
      </c>
      <c r="G35" s="306">
        <f>G34*0.3</f>
        <v>75</v>
      </c>
      <c r="H35" s="306">
        <f>H34*0.3</f>
        <v>75</v>
      </c>
      <c r="I35" s="307">
        <f>I34*0.3</f>
        <v>75</v>
      </c>
      <c r="J35" s="229"/>
    </row>
    <row r="36" spans="1:10" s="230" customFormat="1" ht="19.5" customHeight="1" thickBot="1">
      <c r="A36" s="229"/>
      <c r="B36" s="260" t="s">
        <v>121</v>
      </c>
      <c r="C36" s="261"/>
      <c r="D36" s="262"/>
      <c r="E36" s="263"/>
      <c r="F36" s="263">
        <f>SUM(F34:F35)</f>
        <v>325</v>
      </c>
      <c r="G36" s="263">
        <f>SUM(G34:G35)</f>
        <v>325</v>
      </c>
      <c r="H36" s="263">
        <f>SUM(H34:H35)</f>
        <v>325</v>
      </c>
      <c r="I36" s="264">
        <f>SUM(I34:I35)</f>
        <v>325</v>
      </c>
      <c r="J36" s="229"/>
    </row>
    <row r="37" spans="1:10" s="230" customFormat="1" ht="19.5" customHeight="1">
      <c r="A37" s="229"/>
      <c r="B37" s="278" t="s">
        <v>35</v>
      </c>
      <c r="C37" s="279"/>
      <c r="D37" s="280"/>
      <c r="E37" s="281">
        <v>50</v>
      </c>
      <c r="F37" s="281">
        <v>75</v>
      </c>
      <c r="G37" s="281">
        <v>75</v>
      </c>
      <c r="H37" s="281">
        <v>75</v>
      </c>
      <c r="I37" s="282">
        <v>75</v>
      </c>
      <c r="J37" s="229"/>
    </row>
    <row r="38" spans="1:10" s="230" customFormat="1" ht="19.5" customHeight="1">
      <c r="A38" s="229"/>
      <c r="B38" s="283" t="s">
        <v>106</v>
      </c>
      <c r="C38" s="284"/>
      <c r="D38" s="285"/>
      <c r="E38" s="286">
        <v>0</v>
      </c>
      <c r="F38" s="286">
        <v>90</v>
      </c>
      <c r="G38" s="286">
        <v>90</v>
      </c>
      <c r="H38" s="286">
        <v>90</v>
      </c>
      <c r="I38" s="287">
        <v>90</v>
      </c>
      <c r="J38" s="229"/>
    </row>
    <row r="39" spans="1:10" s="230" customFormat="1" ht="19.5" customHeight="1">
      <c r="A39" s="229"/>
      <c r="B39" s="283" t="s">
        <v>107</v>
      </c>
      <c r="C39" s="288"/>
      <c r="D39" s="285"/>
      <c r="E39" s="286">
        <v>40</v>
      </c>
      <c r="F39" s="286">
        <v>400</v>
      </c>
      <c r="G39" s="286">
        <v>400</v>
      </c>
      <c r="H39" s="286">
        <v>400</v>
      </c>
      <c r="I39" s="287">
        <v>400</v>
      </c>
      <c r="J39" s="229"/>
    </row>
    <row r="40" spans="1:10" s="230" customFormat="1" ht="19.5" customHeight="1">
      <c r="A40" s="229"/>
      <c r="B40" s="283" t="s">
        <v>109</v>
      </c>
      <c r="C40" s="288"/>
      <c r="D40" s="285"/>
      <c r="E40" s="286"/>
      <c r="F40" s="286">
        <v>1000</v>
      </c>
      <c r="G40" s="286">
        <v>1000</v>
      </c>
      <c r="H40" s="286">
        <v>1000</v>
      </c>
      <c r="I40" s="287">
        <v>1000</v>
      </c>
      <c r="J40" s="229"/>
    </row>
    <row r="41" spans="1:10" s="230" customFormat="1" ht="19.5" customHeight="1">
      <c r="A41" s="229"/>
      <c r="B41" s="283" t="s">
        <v>110</v>
      </c>
      <c r="C41" s="288"/>
      <c r="D41" s="285"/>
      <c r="E41" s="286"/>
      <c r="F41" s="286">
        <v>300</v>
      </c>
      <c r="G41" s="286">
        <v>300</v>
      </c>
      <c r="H41" s="286">
        <v>300</v>
      </c>
      <c r="I41" s="287">
        <v>300</v>
      </c>
      <c r="J41" s="229"/>
    </row>
    <row r="42" spans="1:10" s="230" customFormat="1" ht="19.5" customHeight="1">
      <c r="A42" s="229"/>
      <c r="B42" s="283" t="s">
        <v>117</v>
      </c>
      <c r="C42" s="288"/>
      <c r="D42" s="285"/>
      <c r="E42" s="286"/>
      <c r="F42" s="286">
        <v>240</v>
      </c>
      <c r="G42" s="286">
        <v>240</v>
      </c>
      <c r="H42" s="286">
        <v>240</v>
      </c>
      <c r="I42" s="287">
        <v>240</v>
      </c>
      <c r="J42" s="229"/>
    </row>
    <row r="43" spans="1:10" s="230" customFormat="1" ht="19.5" customHeight="1">
      <c r="A43" s="229"/>
      <c r="B43" s="283" t="s">
        <v>108</v>
      </c>
      <c r="C43" s="288"/>
      <c r="D43" s="285"/>
      <c r="E43" s="286"/>
      <c r="F43" s="286">
        <v>150</v>
      </c>
      <c r="G43" s="286">
        <v>150</v>
      </c>
      <c r="H43" s="286">
        <v>150</v>
      </c>
      <c r="I43" s="287">
        <v>150</v>
      </c>
      <c r="J43" s="229"/>
    </row>
    <row r="44" spans="1:10" s="230" customFormat="1" ht="19.5" customHeight="1" thickBot="1">
      <c r="A44" s="229"/>
      <c r="B44" s="289" t="s">
        <v>119</v>
      </c>
      <c r="C44" s="290"/>
      <c r="D44" s="291"/>
      <c r="E44" s="292">
        <v>75</v>
      </c>
      <c r="F44" s="292">
        <v>50</v>
      </c>
      <c r="G44" s="292">
        <v>50</v>
      </c>
      <c r="H44" s="292">
        <v>50</v>
      </c>
      <c r="I44" s="293">
        <v>50</v>
      </c>
      <c r="J44" s="229"/>
    </row>
    <row r="45" spans="1:10" s="230" customFormat="1" ht="21.75" customHeight="1" thickBot="1">
      <c r="A45" s="229"/>
      <c r="B45" s="260" t="s">
        <v>120</v>
      </c>
      <c r="C45" s="261"/>
      <c r="D45" s="261"/>
      <c r="E45" s="265"/>
      <c r="F45" s="262">
        <f>SUM(F37:F44)</f>
        <v>2305</v>
      </c>
      <c r="G45" s="262">
        <f>SUM(G37:G44)</f>
        <v>2305</v>
      </c>
      <c r="H45" s="262">
        <f>SUM(H37:H44)</f>
        <v>2305</v>
      </c>
      <c r="I45" s="266">
        <f>SUM(I37:I44)</f>
        <v>2305</v>
      </c>
      <c r="J45" s="229"/>
    </row>
    <row r="46" spans="1:10" s="230" customFormat="1" ht="21.75" customHeight="1" thickBot="1">
      <c r="A46" s="229"/>
      <c r="B46" s="267" t="s">
        <v>118</v>
      </c>
      <c r="C46" s="268"/>
      <c r="D46" s="269">
        <v>800</v>
      </c>
      <c r="E46" s="231"/>
      <c r="F46" s="231"/>
      <c r="G46" s="231"/>
      <c r="H46" s="231"/>
      <c r="I46" s="232"/>
      <c r="J46" s="229"/>
    </row>
    <row r="47" spans="1:10" s="230" customFormat="1" ht="21.75" customHeight="1" thickBot="1">
      <c r="A47" s="229"/>
      <c r="B47" s="233"/>
      <c r="C47" s="234"/>
      <c r="D47" s="235"/>
      <c r="E47" s="231"/>
      <c r="F47" s="231"/>
      <c r="G47" s="231"/>
      <c r="H47" s="231"/>
      <c r="I47" s="232"/>
      <c r="J47" s="229"/>
    </row>
    <row r="48" spans="1:10" s="230" customFormat="1" ht="21.75" customHeight="1" thickBot="1">
      <c r="A48" s="229"/>
      <c r="B48" s="267" t="s">
        <v>124</v>
      </c>
      <c r="C48" s="268"/>
      <c r="D48" s="270"/>
      <c r="E48" s="265"/>
      <c r="F48" s="271">
        <f>SUM($D$46+F14+F27+F36+F45)</f>
        <v>5824.5</v>
      </c>
      <c r="G48" s="271">
        <f>SUM($D$46+G45+G27+G14)</f>
        <v>3105</v>
      </c>
      <c r="H48" s="271">
        <f>SUM($D$46+H45+H27+H14)</f>
        <v>3105</v>
      </c>
      <c r="I48" s="269">
        <f>SUM($D$46+I45+I27+I14)</f>
        <v>3105</v>
      </c>
      <c r="J48" s="229"/>
    </row>
    <row r="49" spans="1:10" s="230" customFormat="1" ht="21.75" customHeight="1" thickBot="1">
      <c r="A49" s="229"/>
      <c r="B49" s="267" t="s">
        <v>126</v>
      </c>
      <c r="C49" s="268"/>
      <c r="D49" s="269">
        <v>200</v>
      </c>
      <c r="E49" s="231"/>
      <c r="F49" s="231"/>
      <c r="G49" s="231"/>
      <c r="H49" s="231"/>
      <c r="I49" s="232"/>
      <c r="J49" s="229"/>
    </row>
    <row r="50" spans="1:10" s="230" customFormat="1" ht="21.75" customHeight="1" thickBot="1">
      <c r="A50" s="229"/>
      <c r="B50" s="267" t="s">
        <v>131</v>
      </c>
      <c r="C50" s="268"/>
      <c r="D50" s="269">
        <v>900</v>
      </c>
      <c r="E50" s="231"/>
      <c r="F50" s="231"/>
      <c r="G50" s="231"/>
      <c r="H50" s="231"/>
      <c r="I50" s="232"/>
      <c r="J50" s="229"/>
    </row>
    <row r="51" spans="1:10" s="230" customFormat="1" ht="21.75" customHeight="1" thickBot="1">
      <c r="A51" s="229"/>
      <c r="B51" s="236"/>
      <c r="C51" s="237"/>
      <c r="D51" s="238"/>
      <c r="E51" s="231"/>
      <c r="F51" s="231"/>
      <c r="G51" s="231"/>
      <c r="H51" s="231"/>
      <c r="I51" s="232"/>
      <c r="J51" s="229"/>
    </row>
    <row r="52" spans="1:10" s="230" customFormat="1" ht="21.75" customHeight="1" thickBot="1" thickTop="1">
      <c r="A52" s="229"/>
      <c r="B52" s="255" t="s">
        <v>125</v>
      </c>
      <c r="C52" s="256"/>
      <c r="D52" s="257"/>
      <c r="E52" s="258"/>
      <c r="F52" s="258">
        <f>SUM(F48+$D$49+$D$50)</f>
        <v>6924.5</v>
      </c>
      <c r="G52" s="258">
        <f>SUM(G48+$D$49+$D$50)</f>
        <v>4205</v>
      </c>
      <c r="H52" s="258">
        <f>SUM(H48+$D$49+$D$50)</f>
        <v>4205</v>
      </c>
      <c r="I52" s="259">
        <f>SUM(I48+$D$49+$D$50)</f>
        <v>4205</v>
      </c>
      <c r="J52" s="229"/>
    </row>
    <row r="53" spans="1:10" s="230" customFormat="1" ht="21.75" customHeight="1" thickTop="1">
      <c r="A53" s="229"/>
      <c r="B53" s="239" t="s">
        <v>132</v>
      </c>
      <c r="C53" s="240"/>
      <c r="D53" s="240"/>
      <c r="E53" s="240"/>
      <c r="F53" s="241">
        <f>+($D$50/F52)</f>
        <v>0.12997328326955015</v>
      </c>
      <c r="G53" s="241">
        <f>+($D$50/G52)</f>
        <v>0.2140309155766944</v>
      </c>
      <c r="H53" s="241">
        <f>+($D$50/H52)</f>
        <v>0.2140309155766944</v>
      </c>
      <c r="I53" s="252">
        <f>+($D$50/I52)</f>
        <v>0.2140309155766944</v>
      </c>
      <c r="J53" s="229"/>
    </row>
    <row r="54" spans="2:9" s="230" customFormat="1" ht="21.75" customHeight="1">
      <c r="B54" s="239" t="s">
        <v>129</v>
      </c>
      <c r="C54" s="240"/>
      <c r="D54" s="240"/>
      <c r="E54" s="240"/>
      <c r="F54" s="242">
        <f>SUM(F14+F27+F36+F45)</f>
        <v>5024.5</v>
      </c>
      <c r="G54" s="242">
        <f>SUM(G14+G27+G36+G45)</f>
        <v>2630</v>
      </c>
      <c r="H54" s="242">
        <f>SUM(H14+H27+H36+H45)</f>
        <v>2630</v>
      </c>
      <c r="I54" s="253">
        <f>SUM(I14+I27+I36+I45)</f>
        <v>2630</v>
      </c>
    </row>
    <row r="55" spans="2:9" s="230" customFormat="1" ht="21.75" customHeight="1" thickBot="1">
      <c r="B55" s="243" t="s">
        <v>130</v>
      </c>
      <c r="C55" s="244"/>
      <c r="D55" s="244"/>
      <c r="E55" s="244"/>
      <c r="F55" s="245">
        <f>+(F52-F54)/1</f>
        <v>1900</v>
      </c>
      <c r="G55" s="245">
        <f>+(G52-G54)/1</f>
        <v>1575</v>
      </c>
      <c r="H55" s="245">
        <f>+(H52-H54)/1</f>
        <v>1575</v>
      </c>
      <c r="I55" s="254">
        <f>+(I52-I54)/1</f>
        <v>1575</v>
      </c>
    </row>
  </sheetData>
  <sheetProtection/>
  <mergeCells count="1">
    <mergeCell ref="B4:I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Lennox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Matz</dc:creator>
  <cp:keywords/>
  <dc:description/>
  <cp:lastModifiedBy>Jennifer Melendez</cp:lastModifiedBy>
  <cp:lastPrinted>2006-07-24T23:49:47Z</cp:lastPrinted>
  <dcterms:created xsi:type="dcterms:W3CDTF">2001-03-20T16:49:10Z</dcterms:created>
  <dcterms:modified xsi:type="dcterms:W3CDTF">2017-09-19T22:41:40Z</dcterms:modified>
  <cp:category/>
  <cp:version/>
  <cp:contentType/>
  <cp:contentStatus/>
</cp:coreProperties>
</file>